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ayfa1" sheetId="1" r:id="rId1"/>
  </sheets>
  <definedNames>
    <definedName name="_xlfn.SHEET" hidden="1">#NAME?</definedName>
    <definedName name="_xlnm.Print_Titles" localSheetId="0">'Sayfa1'!$2:$10</definedName>
  </definedNames>
  <calcPr fullCalcOnLoad="1"/>
</workbook>
</file>

<file path=xl/sharedStrings.xml><?xml version="1.0" encoding="utf-8"?>
<sst xmlns="http://schemas.openxmlformats.org/spreadsheetml/2006/main" count="1348" uniqueCount="724">
  <si>
    <t>SNO</t>
  </si>
  <si>
    <t>Ada/Parsel</t>
  </si>
  <si>
    <t>Kamu</t>
  </si>
  <si>
    <t>Hisse</t>
  </si>
  <si>
    <t>Alanı</t>
  </si>
  <si>
    <t>Pay</t>
  </si>
  <si>
    <t>Ada/Par</t>
  </si>
  <si>
    <t>TESCİLE ESAS</t>
  </si>
  <si>
    <t>Alan</t>
  </si>
  <si>
    <t>Dgirmeyen</t>
  </si>
  <si>
    <t>İstimlak</t>
  </si>
  <si>
    <t>Bağış</t>
  </si>
  <si>
    <t>Dop</t>
  </si>
  <si>
    <t>Eskidop</t>
  </si>
  <si>
    <t>Dopal</t>
  </si>
  <si>
    <t>HisseN</t>
  </si>
  <si>
    <t>HisseD</t>
  </si>
  <si>
    <t>Blokalan</t>
  </si>
  <si>
    <t>İMAR</t>
  </si>
  <si>
    <t>KADASTRO</t>
  </si>
  <si>
    <t>( İMAR PARSELİNE SIRALI )</t>
  </si>
  <si>
    <t>Sayfa</t>
  </si>
  <si>
    <t>Malik</t>
  </si>
  <si>
    <t>D.Giren</t>
  </si>
  <si>
    <t>DopMik</t>
  </si>
  <si>
    <t>Tahsis</t>
  </si>
  <si>
    <t>Açıklama (Kad)</t>
  </si>
  <si>
    <t>Açıklama (İmar)</t>
  </si>
  <si>
    <t>Cinsi</t>
  </si>
  <si>
    <t>PaftaNo</t>
  </si>
  <si>
    <t>Baba Adı</t>
  </si>
  <si>
    <t>Toplam Alan</t>
  </si>
  <si>
    <t>Toplam Pay</t>
  </si>
  <si>
    <t>Top. Kamulaştırma</t>
  </si>
  <si>
    <t>Top. Düz. Girmeyen</t>
  </si>
  <si>
    <t>Top. Düz. Giren</t>
  </si>
  <si>
    <t>Toplam Ada Alanı</t>
  </si>
  <si>
    <t>O.Katılım Oranı</t>
  </si>
  <si>
    <t>D.O.Payı Oranı</t>
  </si>
  <si>
    <t>Hissesi</t>
  </si>
  <si>
    <t>EskiDopo</t>
  </si>
  <si>
    <t>EskiDopoMik</t>
  </si>
  <si>
    <t>İlave Dop Mik.</t>
  </si>
  <si>
    <t>DAĞITIM CETVELİ</t>
  </si>
  <si>
    <t>Eski-Hesaplanan DOP</t>
  </si>
  <si>
    <t xml:space="preserve"> </t>
  </si>
  <si>
    <t>180/21</t>
  </si>
  <si>
    <t>MEHMET ALİ BAHADIR</t>
  </si>
  <si>
    <t>KADİR</t>
  </si>
  <si>
    <t>FATMA BAHADIR|KADİR
ŞEHRİYE BAHADIR|KADİR
FİKRİYE BAHADIR|KADİR
HATİCE BAHADIR|KADİR
HALİM BAHADIR|KADİR</t>
  </si>
  <si>
    <t/>
  </si>
  <si>
    <t>351/1</t>
  </si>
  <si>
    <t>ARSA</t>
  </si>
  <si>
    <t xml:space="preserve"> 1933.03</t>
  </si>
  <si>
    <t>1</t>
  </si>
  <si>
    <t>73782.67</t>
  </si>
  <si>
    <t>73782.67</t>
  </si>
  <si>
    <t>2737.29</t>
  </si>
  <si>
    <t>70997.84</t>
  </si>
  <si>
    <t>0.00</t>
  </si>
  <si>
    <t>50070.21</t>
  </si>
  <si>
    <t>0.2947643</t>
  </si>
  <si>
    <t>0.0000000</t>
  </si>
  <si>
    <t>180/20</t>
  </si>
  <si>
    <t>FEVZİ ÖZER</t>
  </si>
  <si>
    <t>HASAN</t>
  </si>
  <si>
    <t>351/2</t>
  </si>
  <si>
    <t xml:space="preserve"> 1700</t>
  </si>
  <si>
    <t>180/20</t>
  </si>
  <si>
    <t>FEVZİ ÖZER</t>
  </si>
  <si>
    <t>HASAN</t>
  </si>
  <si>
    <t>351/3</t>
  </si>
  <si>
    <t>ARSA</t>
  </si>
  <si>
    <t xml:space="preserve"> 5513.14</t>
  </si>
  <si>
    <t>180/21</t>
  </si>
  <si>
    <t>MEHMET ALİ BAHADIR</t>
  </si>
  <si>
    <t>KADİR</t>
  </si>
  <si>
    <t>FATMA BAHADIR|KADİR
ŞEHRİYE BAHADIR|KADİR
FİKRİYE BAHADIR|KADİR
HATİCE BAHADIR|KADİR
HALİM BAHADIR|KADİR</t>
  </si>
  <si>
    <t>351/3</t>
  </si>
  <si>
    <t xml:space="preserve"> 5513.14</t>
  </si>
  <si>
    <t>185/1</t>
  </si>
  <si>
    <t>İBRAHİM ERDOĞAN</t>
  </si>
  <si>
    <t>MUHARREM</t>
  </si>
  <si>
    <t>352/1</t>
  </si>
  <si>
    <t>ARSA</t>
  </si>
  <si>
    <t xml:space="preserve"> 1371.63</t>
  </si>
  <si>
    <t>185/2</t>
  </si>
  <si>
    <t>LÜTFÜ AĞIRMAN</t>
  </si>
  <si>
    <t>MUHAMMET</t>
  </si>
  <si>
    <t>352/1</t>
  </si>
  <si>
    <t xml:space="preserve"> 1371.63</t>
  </si>
  <si>
    <t>185/11</t>
  </si>
  <si>
    <t>FİKRİ AĞIRMAN</t>
  </si>
  <si>
    <t>MUHAMMET</t>
  </si>
  <si>
    <t>352/2</t>
  </si>
  <si>
    <t>ARSA</t>
  </si>
  <si>
    <t xml:space="preserve"> 1000</t>
  </si>
  <si>
    <t>185/11</t>
  </si>
  <si>
    <t>HAVVA YILDIZ</t>
  </si>
  <si>
    <t>MUHAMMET</t>
  </si>
  <si>
    <t>352/2</t>
  </si>
  <si>
    <t xml:space="preserve"> 1000</t>
  </si>
  <si>
    <t>185/11</t>
  </si>
  <si>
    <t>MUSTAFA AĞIRMAN</t>
  </si>
  <si>
    <t>MUHAMMET</t>
  </si>
  <si>
    <t>352/2</t>
  </si>
  <si>
    <t xml:space="preserve"> 1000</t>
  </si>
  <si>
    <t>211/12</t>
  </si>
  <si>
    <t>TELAT ERDOĞAN</t>
  </si>
  <si>
    <t>ABDÜLMECİT</t>
  </si>
  <si>
    <t>352/2</t>
  </si>
  <si>
    <t xml:space="preserve"> 1000</t>
  </si>
  <si>
    <t>185/3</t>
  </si>
  <si>
    <t>HÜSEYİN BAHADIR</t>
  </si>
  <si>
    <t>REŞİT</t>
  </si>
  <si>
    <t>352/3</t>
  </si>
  <si>
    <t xml:space="preserve"> 1929.4</t>
  </si>
  <si>
    <t>185/5</t>
  </si>
  <si>
    <t>FATMA BAHADIR</t>
  </si>
  <si>
    <t>MEHMET</t>
  </si>
  <si>
    <t>352/4</t>
  </si>
  <si>
    <t>ARSA</t>
  </si>
  <si>
    <t xml:space="preserve"> 1517.35</t>
  </si>
  <si>
    <t>185/5</t>
  </si>
  <si>
    <t>NEFİYE AĞIRMAN</t>
  </si>
  <si>
    <t>TEVFİK</t>
  </si>
  <si>
    <t>352/4</t>
  </si>
  <si>
    <t xml:space="preserve"> 1517.35</t>
  </si>
  <si>
    <t>185/8</t>
  </si>
  <si>
    <t>FATMA BAHADIR</t>
  </si>
  <si>
    <t>MEHMET</t>
  </si>
  <si>
    <t>352/4</t>
  </si>
  <si>
    <t xml:space="preserve"> 1517.35</t>
  </si>
  <si>
    <t>185/8</t>
  </si>
  <si>
    <t>REYHANE ŞAHİN</t>
  </si>
  <si>
    <t>TEVFİK</t>
  </si>
  <si>
    <t>352/4</t>
  </si>
  <si>
    <t xml:space="preserve"> 1517.35</t>
  </si>
  <si>
    <t>185/9</t>
  </si>
  <si>
    <t>FATMA BAHADIR</t>
  </si>
  <si>
    <t>MEHMET</t>
  </si>
  <si>
    <t>352/4</t>
  </si>
  <si>
    <t xml:space="preserve"> 1517.35</t>
  </si>
  <si>
    <t>185/9</t>
  </si>
  <si>
    <t>FİRDEVS ERDOĞAN</t>
  </si>
  <si>
    <t>TEVFİK</t>
  </si>
  <si>
    <t>352/4</t>
  </si>
  <si>
    <t xml:space="preserve"> 1517.35</t>
  </si>
  <si>
    <t>185/10</t>
  </si>
  <si>
    <t>FATMA BAHADIR</t>
  </si>
  <si>
    <t>MEHMET</t>
  </si>
  <si>
    <t>352/4</t>
  </si>
  <si>
    <t xml:space="preserve"> 1517.35</t>
  </si>
  <si>
    <t>185/10</t>
  </si>
  <si>
    <t>REYHANE ŞAHİN</t>
  </si>
  <si>
    <t>TEVFİK</t>
  </si>
  <si>
    <t>352/4</t>
  </si>
  <si>
    <t xml:space="preserve"> 1517.35</t>
  </si>
  <si>
    <t>181/19</t>
  </si>
  <si>
    <t>TELAT ERDOĞAN</t>
  </si>
  <si>
    <t>ABDÜLMECİT</t>
  </si>
  <si>
    <t>352/5</t>
  </si>
  <si>
    <t xml:space="preserve"> 1153.71</t>
  </si>
  <si>
    <t>184/1</t>
  </si>
  <si>
    <t>TELAT ERDOĞAN</t>
  </si>
  <si>
    <t>ABDÜLMECİT</t>
  </si>
  <si>
    <t>352/5</t>
  </si>
  <si>
    <t xml:space="preserve"> 1153.71</t>
  </si>
  <si>
    <t>184/2</t>
  </si>
  <si>
    <t>TELAT ERDOĞAN</t>
  </si>
  <si>
    <t>ABDÜLMECİT</t>
  </si>
  <si>
    <t>352/5</t>
  </si>
  <si>
    <t xml:space="preserve"> 1153.71</t>
  </si>
  <si>
    <t>185/6</t>
  </si>
  <si>
    <t>AYŞE BAHADIR</t>
  </si>
  <si>
    <t>NURİ</t>
  </si>
  <si>
    <t>352/5</t>
  </si>
  <si>
    <t xml:space="preserve"> 1153.71</t>
  </si>
  <si>
    <t>185/6</t>
  </si>
  <si>
    <t>MUSTAFA BAHADIR</t>
  </si>
  <si>
    <t>ALİ</t>
  </si>
  <si>
    <t>352/5</t>
  </si>
  <si>
    <t xml:space="preserve"> 1153.71</t>
  </si>
  <si>
    <t>211/12</t>
  </si>
  <si>
    <t>TELAT ERDOĞAN</t>
  </si>
  <si>
    <t>ABDÜLMECİT</t>
  </si>
  <si>
    <t>352/5</t>
  </si>
  <si>
    <t xml:space="preserve"> 1153.71</t>
  </si>
  <si>
    <t>185/7</t>
  </si>
  <si>
    <t>FEVZİ ÖZER</t>
  </si>
  <si>
    <t>HASAN</t>
  </si>
  <si>
    <t>352/6</t>
  </si>
  <si>
    <t xml:space="preserve"> 1000.15</t>
  </si>
  <si>
    <t>211/12</t>
  </si>
  <si>
    <t>TELAT ERDOĞAN</t>
  </si>
  <si>
    <t>ABDÜLMECİT</t>
  </si>
  <si>
    <t>352/6</t>
  </si>
  <si>
    <t xml:space="preserve"> 1000.15</t>
  </si>
  <si>
    <t>181/18</t>
  </si>
  <si>
    <t>MUSTAFA BAHADIR</t>
  </si>
  <si>
    <t>ALİ</t>
  </si>
  <si>
    <t>352/7</t>
  </si>
  <si>
    <t xml:space="preserve"> 2380.07</t>
  </si>
  <si>
    <t>185/13</t>
  </si>
  <si>
    <t>MUSTAFA BAHADIR</t>
  </si>
  <si>
    <t>ALİ</t>
  </si>
  <si>
    <t>352/7</t>
  </si>
  <si>
    <t xml:space="preserve"> 2380.07</t>
  </si>
  <si>
    <t>185/12</t>
  </si>
  <si>
    <t>RAMAZAN BAHADIR</t>
  </si>
  <si>
    <t>ALİ</t>
  </si>
  <si>
    <t>352/8</t>
  </si>
  <si>
    <t>ARSA</t>
  </si>
  <si>
    <t xml:space="preserve"> 1121.56</t>
  </si>
  <si>
    <t>184/10</t>
  </si>
  <si>
    <t>MUSTAFA BAHADIR</t>
  </si>
  <si>
    <t>EYYÜP</t>
  </si>
  <si>
    <t>353/1</t>
  </si>
  <si>
    <t>ARSA</t>
  </si>
  <si>
    <t xml:space="preserve"> 1102.29</t>
  </si>
  <si>
    <t>184/11</t>
  </si>
  <si>
    <t>RAMAZAN BAHADIR</t>
  </si>
  <si>
    <t>ALİ</t>
  </si>
  <si>
    <t>353/1</t>
  </si>
  <si>
    <t xml:space="preserve"> 1102.29</t>
  </si>
  <si>
    <t>184/9</t>
  </si>
  <si>
    <t>AHMET ERDOĞAN</t>
  </si>
  <si>
    <t>İSMET</t>
  </si>
  <si>
    <t>353/2</t>
  </si>
  <si>
    <t>ARSA</t>
  </si>
  <si>
    <t xml:space="preserve"> 950.36</t>
  </si>
  <si>
    <t>184/9</t>
  </si>
  <si>
    <t>AYŞE YAZICI</t>
  </si>
  <si>
    <t>YUSUF</t>
  </si>
  <si>
    <t>353/2</t>
  </si>
  <si>
    <t xml:space="preserve"> 950.36</t>
  </si>
  <si>
    <t>184/9</t>
  </si>
  <si>
    <t>BAYRAM ERDOĞAN</t>
  </si>
  <si>
    <t>İSMET</t>
  </si>
  <si>
    <t>353/2</t>
  </si>
  <si>
    <t xml:space="preserve"> 950.36</t>
  </si>
  <si>
    <t>184/9</t>
  </si>
  <si>
    <t>CEMAL ERDOĞAN</t>
  </si>
  <si>
    <t>YUSUF</t>
  </si>
  <si>
    <t>353/2</t>
  </si>
  <si>
    <t xml:space="preserve"> 950.36</t>
  </si>
  <si>
    <t>184/9</t>
  </si>
  <si>
    <t>EMİNE KAVALCI</t>
  </si>
  <si>
    <t>AHMET</t>
  </si>
  <si>
    <t>353/2</t>
  </si>
  <si>
    <t xml:space="preserve"> 950.36</t>
  </si>
  <si>
    <t>184/9</t>
  </si>
  <si>
    <t>EMİNE YAZICI</t>
  </si>
  <si>
    <t>YUSUF</t>
  </si>
  <si>
    <t>353/2</t>
  </si>
  <si>
    <t xml:space="preserve"> 950.36</t>
  </si>
  <si>
    <t>184/9</t>
  </si>
  <si>
    <t>FATMA YİĞİT</t>
  </si>
  <si>
    <t>YUSUF</t>
  </si>
  <si>
    <t>353/2</t>
  </si>
  <si>
    <t xml:space="preserve"> 950.36</t>
  </si>
  <si>
    <t>184/9</t>
  </si>
  <si>
    <t>HACİRE GÜNEŞ</t>
  </si>
  <si>
    <t>AHMET</t>
  </si>
  <si>
    <t>353/2</t>
  </si>
  <si>
    <t xml:space="preserve"> 950.36</t>
  </si>
  <si>
    <t>184/9</t>
  </si>
  <si>
    <t>HANİFE GENÇ</t>
  </si>
  <si>
    <t>YUSUF</t>
  </si>
  <si>
    <t>353/2</t>
  </si>
  <si>
    <t xml:space="preserve"> 950.36</t>
  </si>
  <si>
    <t>184/9</t>
  </si>
  <si>
    <t>KENAN ERDOĞAN</t>
  </si>
  <si>
    <t>İSMET</t>
  </si>
  <si>
    <t>353/2</t>
  </si>
  <si>
    <t xml:space="preserve"> 950.36</t>
  </si>
  <si>
    <t>184/9</t>
  </si>
  <si>
    <t>MEHMET ERDOĞAN</t>
  </si>
  <si>
    <t>İSMET</t>
  </si>
  <si>
    <t>353/2</t>
  </si>
  <si>
    <t xml:space="preserve"> 950.36</t>
  </si>
  <si>
    <t>184/9</t>
  </si>
  <si>
    <t>NECİBE ERDOĞAN</t>
  </si>
  <si>
    <t>İSMET</t>
  </si>
  <si>
    <t>353/2</t>
  </si>
  <si>
    <t xml:space="preserve"> 950.36</t>
  </si>
  <si>
    <t>184/9</t>
  </si>
  <si>
    <t>NESRİN GÜZEY</t>
  </si>
  <si>
    <t>AHMET</t>
  </si>
  <si>
    <t>353/2</t>
  </si>
  <si>
    <t xml:space="preserve"> 950.36</t>
  </si>
  <si>
    <t>184/9</t>
  </si>
  <si>
    <t>NİHAT ERDOĞAN</t>
  </si>
  <si>
    <t>AHMET</t>
  </si>
  <si>
    <t>353/2</t>
  </si>
  <si>
    <t xml:space="preserve"> 950.36</t>
  </si>
  <si>
    <t>184/9</t>
  </si>
  <si>
    <t>NUSRET ERDOĞAN</t>
  </si>
  <si>
    <t>YUSUF</t>
  </si>
  <si>
    <t>353/2</t>
  </si>
  <si>
    <t xml:space="preserve"> 950.36</t>
  </si>
  <si>
    <t>184/9</t>
  </si>
  <si>
    <t>RAMAZAN ERDOĞAN</t>
  </si>
  <si>
    <t>İSMET</t>
  </si>
  <si>
    <t>353/2</t>
  </si>
  <si>
    <t xml:space="preserve"> 950.36</t>
  </si>
  <si>
    <t>184/9</t>
  </si>
  <si>
    <t>RESÜL ERDOĞAN</t>
  </si>
  <si>
    <t>AHMET</t>
  </si>
  <si>
    <t>353/2</t>
  </si>
  <si>
    <t xml:space="preserve"> 950.36</t>
  </si>
  <si>
    <t>184/9</t>
  </si>
  <si>
    <t>ŞABAN ERDOĞAN</t>
  </si>
  <si>
    <t>İSMET</t>
  </si>
  <si>
    <t>353/2</t>
  </si>
  <si>
    <t xml:space="preserve"> 950.36</t>
  </si>
  <si>
    <t>184/9</t>
  </si>
  <si>
    <t>SONGÜL ERDOĞAN</t>
  </si>
  <si>
    <t>AHMET</t>
  </si>
  <si>
    <t>353/2</t>
  </si>
  <si>
    <t xml:space="preserve"> 950.36</t>
  </si>
  <si>
    <t>184/9</t>
  </si>
  <si>
    <t>ŞÜKRÜYE ERDOĞAN</t>
  </si>
  <si>
    <t>AHMET</t>
  </si>
  <si>
    <t>353/2</t>
  </si>
  <si>
    <t xml:space="preserve"> 950.36</t>
  </si>
  <si>
    <t>184/9</t>
  </si>
  <si>
    <t>SÜLEYMAN ERDOĞAN</t>
  </si>
  <si>
    <t>AHMET</t>
  </si>
  <si>
    <t>353/2</t>
  </si>
  <si>
    <t xml:space="preserve"> 950.36</t>
  </si>
  <si>
    <t>184/9</t>
  </si>
  <si>
    <t>VAHİT ERDOĞAN</t>
  </si>
  <si>
    <t>AHMET</t>
  </si>
  <si>
    <t>353/2</t>
  </si>
  <si>
    <t xml:space="preserve"> 950.36</t>
  </si>
  <si>
    <t>184/9</t>
  </si>
  <si>
    <t>YUSUF ERDOĞAN</t>
  </si>
  <si>
    <t>İSMET</t>
  </si>
  <si>
    <t>353/2</t>
  </si>
  <si>
    <t xml:space="preserve"> 950.36</t>
  </si>
  <si>
    <t>184/9</t>
  </si>
  <si>
    <t>ZEKİ ERDOĞAN</t>
  </si>
  <si>
    <t>İSMET</t>
  </si>
  <si>
    <t>353/2</t>
  </si>
  <si>
    <t xml:space="preserve"> 950.36</t>
  </si>
  <si>
    <t>184/9</t>
  </si>
  <si>
    <t>ZÜLEYHA FINDIK</t>
  </si>
  <si>
    <t>AHMET</t>
  </si>
  <si>
    <t>353/2</t>
  </si>
  <si>
    <t xml:space="preserve"> 950.36</t>
  </si>
  <si>
    <t>211/13</t>
  </si>
  <si>
    <t>BAYRAM ERDOĞAN</t>
  </si>
  <si>
    <t>ŞEVKİ</t>
  </si>
  <si>
    <t>353/2</t>
  </si>
  <si>
    <t xml:space="preserve"> 950.36</t>
  </si>
  <si>
    <t>211/13</t>
  </si>
  <si>
    <t>MEHMET ERDOĞAN</t>
  </si>
  <si>
    <t>ŞEVKİ</t>
  </si>
  <si>
    <t>353/2</t>
  </si>
  <si>
    <t xml:space="preserve"> 950.36</t>
  </si>
  <si>
    <t>211/13</t>
  </si>
  <si>
    <t>ŞÜKRİYE ERDOĞAN</t>
  </si>
  <si>
    <t>ŞEVKİ</t>
  </si>
  <si>
    <t>353/2</t>
  </si>
  <si>
    <t xml:space="preserve"> 950.36</t>
  </si>
  <si>
    <t>184/5</t>
  </si>
  <si>
    <t>GÜLSÜM ERDOĞAN</t>
  </si>
  <si>
    <t>DURSUN</t>
  </si>
  <si>
    <t>353/3</t>
  </si>
  <si>
    <t>ARSA</t>
  </si>
  <si>
    <t xml:space="preserve"> 1007.56</t>
  </si>
  <si>
    <t>184/8</t>
  </si>
  <si>
    <t>ZEKİ ERDOĞAN</t>
  </si>
  <si>
    <t>İSMET</t>
  </si>
  <si>
    <t>353/3</t>
  </si>
  <si>
    <t xml:space="preserve"> 1007.56</t>
  </si>
  <si>
    <t>211/12</t>
  </si>
  <si>
    <t>TELAT ERDOĞAN</t>
  </si>
  <si>
    <t>ABDÜLMECİT</t>
  </si>
  <si>
    <t>353/3</t>
  </si>
  <si>
    <t xml:space="preserve"> 1007.56</t>
  </si>
  <si>
    <t>185/12</t>
  </si>
  <si>
    <t>RAMAZAN BAHADIR</t>
  </si>
  <si>
    <t>ALİ</t>
  </si>
  <si>
    <t>354/1</t>
  </si>
  <si>
    <t xml:space="preserve"> 1724.99</t>
  </si>
  <si>
    <t>211/1</t>
  </si>
  <si>
    <t>RAMAZAN BAHADIR</t>
  </si>
  <si>
    <t>ALİ</t>
  </si>
  <si>
    <t>354/1</t>
  </si>
  <si>
    <t xml:space="preserve"> 1724.99</t>
  </si>
  <si>
    <t>211/2</t>
  </si>
  <si>
    <t>MEHMET NİYAZİ AĞIRMAN</t>
  </si>
  <si>
    <t>ÖMER</t>
  </si>
  <si>
    <t>354/1</t>
  </si>
  <si>
    <t xml:space="preserve"> 1724.99</t>
  </si>
  <si>
    <t>211/3</t>
  </si>
  <si>
    <t>MAKBULE ERDOĞAN</t>
  </si>
  <si>
    <t>MEHMET</t>
  </si>
  <si>
    <t>EMİNE KAVALCI|AHMET
NİHAT ERDOĞAN|AHMET
RESUL ERDOĞAN|AHMET
VAHİT ERDOĞAN|AHMET
NESRİN GUZEY|AHMET
HACİRE GÜNEŞ|AHMET
ZÜLEYHA FINDIK|AHMET
SÜLEYMAN ERDOĞAN|AHMET
SONGÜL ERDOĞAN|AHMET
ŞÜKRİYE ERDOĞAN|AHMET
MEHMET ERDOĞAN|İSMET
RAMAZAN ERDOĞAN|İSMET
ŞABAN ERDOĞAN|İSMET
BAYRAM ERDOĞAN|İSMET
NECİBE AVSEVEN|İSMET
YUSUF ERDOĞAN|İSMET
ZEKİ ERDOĞAN|İSMET
KENAN ERDOĞAN|İSMET
AHMET ERDOĞAN|İSMET
HANİFE ERDOĞAN|YUSUF
FATMA ERDOĞAN|YUSUF
EMİNE ERDOĞAN|YUSUF
AYŞE ERDOĞAN|YUSUF
CEMAL ERDOĞAN|YUSUF
NUSRET ERDOĞAN|YUSUF</t>
  </si>
  <si>
    <t>354/2</t>
  </si>
  <si>
    <t xml:space="preserve"> 2079.78</t>
  </si>
  <si>
    <t>211/4</t>
  </si>
  <si>
    <t>MAKBULE ERDOĞAN</t>
  </si>
  <si>
    <t>MEHMET</t>
  </si>
  <si>
    <t>EMİNE KAVALCI|AHMET
NİHAT ERDOĞAN|AHMET
RESUL ERDOĞAN|AHMET
VAHİT ERDOĞAN|AHMET
NESRİN GUZEY|AHMET
HACİRE GÜNEŞ|AHMET
ZÜLEYHA FINDIK|AHMET
SÜLEYMAN ERDOĞAN|AHMET
SONGÜL ERDOĞAN|AHMET
ŞÜKRİYE ERDOĞAN|AHMET
MEHMET ERDOĞAN|İSMET
RAMAZAN ERDOĞAN|İSMET
ŞABAN ERDOĞAN|İSMET
BAYRAM ERDOĞAN|İSMET
NECİBE AVSEVEN|İSMET
YUSUF ERDOĞAN|İSMET
ZEKİ ERDOĞAN|İSMET
KENAN ERDOĞAN|İSMET
AHMET ERDOĞAN|İSMET
HANİFE ERDOĞAN|YUSUF
FATMA ERDOĞAN|YUSUF
EMİNE ERDOĞAN|YUSUF
AYŞE ERDOĞAN|YUSUF
CEMAL ERDOĞAN|YUSUF
NUSRET ERDOĞAN|YUSUF</t>
  </si>
  <si>
    <t>354/2</t>
  </si>
  <si>
    <t xml:space="preserve"> 2079.78</t>
  </si>
  <si>
    <t>184/5</t>
  </si>
  <si>
    <t>GÜLSÜM ERDOĞAN</t>
  </si>
  <si>
    <t>DURSUN</t>
  </si>
  <si>
    <t>354/3</t>
  </si>
  <si>
    <t xml:space="preserve"> 1684.93</t>
  </si>
  <si>
    <t>184/6</t>
  </si>
  <si>
    <t>SELAHATTİN ERDOĞAN</t>
  </si>
  <si>
    <t>HÜSEYİN</t>
  </si>
  <si>
    <t>354/3</t>
  </si>
  <si>
    <t xml:space="preserve"> 1684.93</t>
  </si>
  <si>
    <t>184/7</t>
  </si>
  <si>
    <t>REMZİ ERDOĞAN</t>
  </si>
  <si>
    <t>HÜSEYİN</t>
  </si>
  <si>
    <t>354/3</t>
  </si>
  <si>
    <t xml:space="preserve"> 1684.93</t>
  </si>
  <si>
    <t>211/5</t>
  </si>
  <si>
    <t>REMZİ ERDOĞAN</t>
  </si>
  <si>
    <t>HÜSEYİN</t>
  </si>
  <si>
    <t>354/3</t>
  </si>
  <si>
    <t xml:space="preserve"> 1684.93</t>
  </si>
  <si>
    <t>211/6</t>
  </si>
  <si>
    <t>SELAHATTİN ERDOĞAN</t>
  </si>
  <si>
    <t>HÜSEYİN</t>
  </si>
  <si>
    <t>354/3</t>
  </si>
  <si>
    <t xml:space="preserve"> 1684.93</t>
  </si>
  <si>
    <t>184/3</t>
  </si>
  <si>
    <t>HARUN ERDOĞAN</t>
  </si>
  <si>
    <t>KASIM</t>
  </si>
  <si>
    <t>354/4</t>
  </si>
  <si>
    <t xml:space="preserve"> 1005.43</t>
  </si>
  <si>
    <t>184/4</t>
  </si>
  <si>
    <t>HAMİT ERDOĞAN</t>
  </si>
  <si>
    <t>AHMET</t>
  </si>
  <si>
    <t>354/4</t>
  </si>
  <si>
    <t xml:space="preserve"> 1005.43</t>
  </si>
  <si>
    <t>211/7</t>
  </si>
  <si>
    <t>AHMET ERDOĞAN</t>
  </si>
  <si>
    <t>RECEP</t>
  </si>
  <si>
    <t>354/4</t>
  </si>
  <si>
    <t xml:space="preserve"> 1005.43</t>
  </si>
  <si>
    <t>211/8</t>
  </si>
  <si>
    <t>CELAL ERDOĞAN</t>
  </si>
  <si>
    <t>AHMET</t>
  </si>
  <si>
    <t>354/4</t>
  </si>
  <si>
    <t xml:space="preserve"> 1005.43</t>
  </si>
  <si>
    <t>211/8</t>
  </si>
  <si>
    <t>HAMİT ERDOĞAN</t>
  </si>
  <si>
    <t>AHMET</t>
  </si>
  <si>
    <t>354/4</t>
  </si>
  <si>
    <t xml:space="preserve"> 1005.43</t>
  </si>
  <si>
    <t>211/8</t>
  </si>
  <si>
    <t>HAVVA FATMA ERDOĞAN</t>
  </si>
  <si>
    <t>MAHMUT</t>
  </si>
  <si>
    <t>354/4</t>
  </si>
  <si>
    <t xml:space="preserve"> 1005.43</t>
  </si>
  <si>
    <t>211/9</t>
  </si>
  <si>
    <t>SEVGİ ERDOĞAN</t>
  </si>
  <si>
    <t>KATİP</t>
  </si>
  <si>
    <t>KASIM HİLAL ERDOĞAN|SÜLEYMAN
UĞUR ERDOĞAN|SÜLEYMAN
ÜNAL ERDOĞAN|SÜLEYMAN</t>
  </si>
  <si>
    <t>354/4</t>
  </si>
  <si>
    <t xml:space="preserve"> 1005.43</t>
  </si>
  <si>
    <t>211/10</t>
  </si>
  <si>
    <t>SEVGİ ERDOĞAN</t>
  </si>
  <si>
    <t>KATİP</t>
  </si>
  <si>
    <t>KASIM HİLAL ERDOĞAN|SÜLEYMAN
UĞUR ERDOĞAN|SÜLEYMAN
ÜNAL ERDOĞAN|SÜLEYMAN</t>
  </si>
  <si>
    <t>354/4</t>
  </si>
  <si>
    <t xml:space="preserve"> 1005.43</t>
  </si>
  <si>
    <t>211/11</t>
  </si>
  <si>
    <t>HARUN ERDOĞAN</t>
  </si>
  <si>
    <t>KASIM</t>
  </si>
  <si>
    <t>354/4</t>
  </si>
  <si>
    <t xml:space="preserve"> 1005.43</t>
  </si>
  <si>
    <t>211/12</t>
  </si>
  <si>
    <t>TELAT ERDOĞAN</t>
  </si>
  <si>
    <t>ABDÜLMECİT</t>
  </si>
  <si>
    <t>354/5</t>
  </si>
  <si>
    <t>ARSA</t>
  </si>
  <si>
    <t xml:space="preserve"> 1427.42</t>
  </si>
  <si>
    <t>181/18</t>
  </si>
  <si>
    <t>MUSTAFA BAHADIR</t>
  </si>
  <si>
    <t>ALİ</t>
  </si>
  <si>
    <t>355/1</t>
  </si>
  <si>
    <t>ARSA</t>
  </si>
  <si>
    <t xml:space="preserve"> 904.78</t>
  </si>
  <si>
    <t>181/19</t>
  </si>
  <si>
    <t>TELAT ERDOĞAN</t>
  </si>
  <si>
    <t>ABDÜLMECİT</t>
  </si>
  <si>
    <t>355/2</t>
  </si>
  <si>
    <t xml:space="preserve"> 4165.11</t>
  </si>
  <si>
    <t>181/15</t>
  </si>
  <si>
    <t>FEVZİ ÖZER</t>
  </si>
  <si>
    <t>HASAN</t>
  </si>
  <si>
    <t>356/1</t>
  </si>
  <si>
    <t>ARSA</t>
  </si>
  <si>
    <t xml:space="preserve"> 1116.6</t>
  </si>
  <si>
    <t>181/16</t>
  </si>
  <si>
    <t>AYŞE BAHADIR</t>
  </si>
  <si>
    <t>NURİ</t>
  </si>
  <si>
    <t>356/1</t>
  </si>
  <si>
    <t xml:space="preserve"> 1116.6</t>
  </si>
  <si>
    <t>181/16</t>
  </si>
  <si>
    <t>MUSTAFA BAHADIR</t>
  </si>
  <si>
    <t>ALİ</t>
  </si>
  <si>
    <t>356/1</t>
  </si>
  <si>
    <t xml:space="preserve"> 1116.6</t>
  </si>
  <si>
    <t>181/19</t>
  </si>
  <si>
    <t>TELAT ERDOĞAN</t>
  </si>
  <si>
    <t>ABDÜLMECİT</t>
  </si>
  <si>
    <t>356/1</t>
  </si>
  <si>
    <t xml:space="preserve"> 1116.6</t>
  </si>
  <si>
    <t>180/21</t>
  </si>
  <si>
    <t>MEHMET ALİ BAHADIR</t>
  </si>
  <si>
    <t>KADİR</t>
  </si>
  <si>
    <t>FATMA BAHADIR|KADİR
ŞEHRİYE BAHADIR|KADİR
FİKRİYE BAHADIR|KADİR
HATİCE BAHADIR|KADİR
HALİM BAHADIR|KADİR</t>
  </si>
  <si>
    <t>356/2</t>
  </si>
  <si>
    <t>ARSA</t>
  </si>
  <si>
    <t xml:space="preserve"> 1807.51</t>
  </si>
  <si>
    <t>181/14</t>
  </si>
  <si>
    <t>ŞEHRİYE BAHADIR</t>
  </si>
  <si>
    <t>KADİR</t>
  </si>
  <si>
    <t>FİKRİYE BAHADIR|KADİR
HATİCE BAHADIR|KADİR
HALİM BAHADIR|KADİR
MEHMET ALİ BAHADIR|KADİR
FATMA BAHADIR|KADİR</t>
  </si>
  <si>
    <t>356/2</t>
  </si>
  <si>
    <t xml:space="preserve"> 1807.51</t>
  </si>
  <si>
    <t>181/17</t>
  </si>
  <si>
    <t>ŞEHRİYE BAHADIR</t>
  </si>
  <si>
    <t>KADİR</t>
  </si>
  <si>
    <t>FİKRİYE BAHADIR|KADİR
HATİCE BAHADIR|KADİR
HALİM BAHADIR|KADİR
MEHMET ALİ BAHADIR|KADİR
FATMA BAHADIR|KADİR</t>
  </si>
  <si>
    <t>356/2</t>
  </si>
  <si>
    <t xml:space="preserve"> 1807.51</t>
  </si>
  <si>
    <t>185/4</t>
  </si>
  <si>
    <t>ŞEHRİYE BAHADIR</t>
  </si>
  <si>
    <t>KADİR</t>
  </si>
  <si>
    <t>FİKRİYE BAHADIR|KADİR
HATİCE BAHADIR|KADİR
HALİM BAHADIR|KADİR
MEHMET ALİ BAHADIR|KADİR
FATMA BAHADIR|KADİR</t>
  </si>
  <si>
    <t>356/2</t>
  </si>
  <si>
    <t xml:space="preserve"> 1807.51</t>
  </si>
  <si>
    <t>181/12</t>
  </si>
  <si>
    <t>HİKMET AĞIRMAAN</t>
  </si>
  <si>
    <t>İSMET</t>
  </si>
  <si>
    <t>356/3</t>
  </si>
  <si>
    <t>ARSA</t>
  </si>
  <si>
    <t xml:space="preserve"> 1180.15</t>
  </si>
  <si>
    <t>181/13</t>
  </si>
  <si>
    <t>MEHMET ALİ AĞIRMAN</t>
  </si>
  <si>
    <t>İSMET</t>
  </si>
  <si>
    <t>356/3</t>
  </si>
  <si>
    <t xml:space="preserve"> 1180.15</t>
  </si>
  <si>
    <t>181/19</t>
  </si>
  <si>
    <t>TELAT ERDOĞAN</t>
  </si>
  <si>
    <t>ABDÜLMECİT</t>
  </si>
  <si>
    <t>356/3</t>
  </si>
  <si>
    <t xml:space="preserve"> 1180.15</t>
  </si>
  <si>
    <t>181/11</t>
  </si>
  <si>
    <t>AHMET BAHADIR</t>
  </si>
  <si>
    <t>EYYÜP</t>
  </si>
  <si>
    <t>356/4</t>
  </si>
  <si>
    <t>ARSA</t>
  </si>
  <si>
    <t xml:space="preserve"> 1547.75</t>
  </si>
  <si>
    <t>181/11</t>
  </si>
  <si>
    <t>AYŞE BAHADIR</t>
  </si>
  <si>
    <t>EYYÜP</t>
  </si>
  <si>
    <t>356/4</t>
  </si>
  <si>
    <t xml:space="preserve"> 1547.75</t>
  </si>
  <si>
    <t>181/11</t>
  </si>
  <si>
    <t>FATMA BAHADIR</t>
  </si>
  <si>
    <t>EYYÜP</t>
  </si>
  <si>
    <t>356/4</t>
  </si>
  <si>
    <t xml:space="preserve"> 1547.75</t>
  </si>
  <si>
    <t>181/11</t>
  </si>
  <si>
    <t>MEHMET BAHADIR</t>
  </si>
  <si>
    <t>EYYÜP</t>
  </si>
  <si>
    <t>356/4</t>
  </si>
  <si>
    <t xml:space="preserve"> 1547.75</t>
  </si>
  <si>
    <t>181/11</t>
  </si>
  <si>
    <t>MUSTAFA BAHADIR</t>
  </si>
  <si>
    <t>EYYÜP</t>
  </si>
  <si>
    <t>356/4</t>
  </si>
  <si>
    <t xml:space="preserve"> 1547.75</t>
  </si>
  <si>
    <t>180/1</t>
  </si>
  <si>
    <t>AHMET BAHADIR</t>
  </si>
  <si>
    <t>RECEP</t>
  </si>
  <si>
    <t>356/5</t>
  </si>
  <si>
    <t xml:space="preserve"> 1641.22</t>
  </si>
  <si>
    <t>181/6</t>
  </si>
  <si>
    <t>AHMET BAHADIR</t>
  </si>
  <si>
    <t>RECEP</t>
  </si>
  <si>
    <t>356/5</t>
  </si>
  <si>
    <t xml:space="preserve"> 1641.22</t>
  </si>
  <si>
    <t>181/7</t>
  </si>
  <si>
    <t>DURSUN BAHADIR</t>
  </si>
  <si>
    <t>RECEP</t>
  </si>
  <si>
    <t>356/5</t>
  </si>
  <si>
    <t xml:space="preserve"> 1641.22</t>
  </si>
  <si>
    <t>181/8</t>
  </si>
  <si>
    <t>BAYRAM AĞIRMAN</t>
  </si>
  <si>
    <t>MUSTAFA</t>
  </si>
  <si>
    <t>356/5</t>
  </si>
  <si>
    <t xml:space="preserve"> 1641.22</t>
  </si>
  <si>
    <t>181/9</t>
  </si>
  <si>
    <t>AHMET BAHADIR</t>
  </si>
  <si>
    <t>RECEP</t>
  </si>
  <si>
    <t>356/5</t>
  </si>
  <si>
    <t xml:space="preserve"> 1641.22</t>
  </si>
  <si>
    <t>181/19</t>
  </si>
  <si>
    <t>TELAT ERDOĞAN</t>
  </si>
  <si>
    <t>ABDÜLMECİT</t>
  </si>
  <si>
    <t>356/5</t>
  </si>
  <si>
    <t xml:space="preserve"> 1641.22</t>
  </si>
  <si>
    <t>180/2</t>
  </si>
  <si>
    <t>İSMAİL BAHADIR</t>
  </si>
  <si>
    <t>RECEP</t>
  </si>
  <si>
    <t>356/6</t>
  </si>
  <si>
    <t>ARSA</t>
  </si>
  <si>
    <t xml:space="preserve"> 1286.29</t>
  </si>
  <si>
    <t>181/5</t>
  </si>
  <si>
    <t>İSMAİL BAHADIR</t>
  </si>
  <si>
    <t>RECEP</t>
  </si>
  <si>
    <t>356/6</t>
  </si>
  <si>
    <t xml:space="preserve"> 1286.29</t>
  </si>
  <si>
    <t>181/10</t>
  </si>
  <si>
    <t>İSMAİL BAHADIR</t>
  </si>
  <si>
    <t>RECEP</t>
  </si>
  <si>
    <t>356/6</t>
  </si>
  <si>
    <t xml:space="preserve"> 1286.29</t>
  </si>
  <si>
    <t>180/8</t>
  </si>
  <si>
    <t>AHMET BAHADIR</t>
  </si>
  <si>
    <t>EYYÜP</t>
  </si>
  <si>
    <t>357/1</t>
  </si>
  <si>
    <t>ARSA</t>
  </si>
  <si>
    <t xml:space="preserve"> 2005.78</t>
  </si>
  <si>
    <t>180/8</t>
  </si>
  <si>
    <t>AYŞE BAHADIR</t>
  </si>
  <si>
    <t>EYYÜP</t>
  </si>
  <si>
    <t>357/1</t>
  </si>
  <si>
    <t xml:space="preserve"> 2005.78</t>
  </si>
  <si>
    <t>180/8</t>
  </si>
  <si>
    <t>FATMA BAHADIR</t>
  </si>
  <si>
    <t>EYYÜP</t>
  </si>
  <si>
    <t>357/1</t>
  </si>
  <si>
    <t xml:space="preserve"> 2005.78</t>
  </si>
  <si>
    <t>180/8</t>
  </si>
  <si>
    <t>MEHMET BAHADIR</t>
  </si>
  <si>
    <t>EYYÜP</t>
  </si>
  <si>
    <t>357/1</t>
  </si>
  <si>
    <t xml:space="preserve"> 2005.78</t>
  </si>
  <si>
    <t>180/8</t>
  </si>
  <si>
    <t>MUSTAFA BAHADIR</t>
  </si>
  <si>
    <t>EYYÜP</t>
  </si>
  <si>
    <t>357/1</t>
  </si>
  <si>
    <t xml:space="preserve"> 2005.78</t>
  </si>
  <si>
    <t>180/9</t>
  </si>
  <si>
    <t>MEHMET AYDIN</t>
  </si>
  <si>
    <t>ARSLAN</t>
  </si>
  <si>
    <t>357/2</t>
  </si>
  <si>
    <t>ARSA</t>
  </si>
  <si>
    <t xml:space="preserve"> 1144.67</t>
  </si>
  <si>
    <t>180/10</t>
  </si>
  <si>
    <t>NECATİ AYDIN</t>
  </si>
  <si>
    <t>ARSLAN</t>
  </si>
  <si>
    <t>357/2</t>
  </si>
  <si>
    <t xml:space="preserve"> 1144.67</t>
  </si>
  <si>
    <t>180/11</t>
  </si>
  <si>
    <t>DURSUN ALİ AYDIN</t>
  </si>
  <si>
    <t>ARSLAN</t>
  </si>
  <si>
    <t>357/2</t>
  </si>
  <si>
    <t xml:space="preserve"> 1144.67</t>
  </si>
  <si>
    <t>180/12</t>
  </si>
  <si>
    <t>NECATİ AYDIN</t>
  </si>
  <si>
    <t>ARSLAN</t>
  </si>
  <si>
    <t>357/2</t>
  </si>
  <si>
    <t xml:space="preserve"> 1144.67</t>
  </si>
  <si>
    <t>181/19</t>
  </si>
  <si>
    <t>TELAT ERDOĞAN</t>
  </si>
  <si>
    <t>ABDÜLMECİT</t>
  </si>
  <si>
    <t>357/2</t>
  </si>
  <si>
    <t xml:space="preserve"> 1144.67</t>
  </si>
  <si>
    <t>180/3</t>
  </si>
  <si>
    <t>İSMAİL BAHADIR</t>
  </si>
  <si>
    <t>RECEP</t>
  </si>
  <si>
    <t>357/3</t>
  </si>
  <si>
    <t xml:space="preserve"> 1667.55</t>
  </si>
  <si>
    <t>180/4</t>
  </si>
  <si>
    <t>GÖNÜL ALBAYRAK</t>
  </si>
  <si>
    <t>YETER</t>
  </si>
  <si>
    <t>357/3</t>
  </si>
  <si>
    <t xml:space="preserve"> 1667.55</t>
  </si>
  <si>
    <t>180/5</t>
  </si>
  <si>
    <t>TAKIRAN UZUNGÖL SU GIDA PVC PLASTİK</t>
  </si>
  <si>
    <t>CAM VE KAĞIT SA</t>
  </si>
  <si>
    <t>357/3</t>
  </si>
  <si>
    <t xml:space="preserve"> 1667.55</t>
  </si>
  <si>
    <t>180/6</t>
  </si>
  <si>
    <t>İSMAİL BAHADIR</t>
  </si>
  <si>
    <t>RECEP</t>
  </si>
  <si>
    <t>357/3</t>
  </si>
  <si>
    <t xml:space="preserve"> 1667.55</t>
  </si>
  <si>
    <t>180/7</t>
  </si>
  <si>
    <t>AHMET BAHADIR</t>
  </si>
  <si>
    <t>RECEP</t>
  </si>
  <si>
    <t>357/3</t>
  </si>
  <si>
    <t xml:space="preserve"> 1667.55</t>
  </si>
  <si>
    <t>181/19</t>
  </si>
  <si>
    <t>TELAT ERDOĞAN</t>
  </si>
  <si>
    <t>ABDÜLMECİT</t>
  </si>
  <si>
    <t>357/3</t>
  </si>
  <si>
    <t xml:space="preserve"> 1667.55</t>
  </si>
  <si>
    <t>AHŞAP EV VE ARSASI</t>
  </si>
  <si>
    <t>TEK KAT AHŞAP EV VE ARSASI</t>
  </si>
  <si>
    <t>ÜÇ KATLI KARGİR EV VE ARSASI</t>
  </si>
  <si>
    <t>İKİ KATLI KARGİR EV VE KARGİR EV VE ARSASI</t>
  </si>
  <si>
    <t>İKİ KARGİR EV VE ARSASI</t>
  </si>
  <si>
    <t>ÜÇ KAT BETON EV TEK KAT BETON EV ARSASI</t>
  </si>
  <si>
    <t>TEK KATLI AHŞAP EV VE ARSASI</t>
  </si>
  <si>
    <t>BETONARME EV TEK KATLI AHŞAP EV AHŞAP EV VE ARSASI</t>
  </si>
  <si>
    <t>ÜÇ KATLI BETONARME EV, AHIR VE ARSASI</t>
  </si>
  <si>
    <t>T.C. ÇAYKARA BELEDİYESİ TAŞKIRAN MAHALLESİ IV  NOLU UYGULAMA SAHASI</t>
  </si>
</sst>
</file>

<file path=xl/styles.xml><?xml version="1.0" encoding="utf-8"?>
<styleSheet xmlns="http://schemas.openxmlformats.org/spreadsheetml/2006/main">
  <numFmts count="3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m/d/yy"/>
    <numFmt numFmtId="171" formatCode="d\-mmm\-yy"/>
    <numFmt numFmtId="172" formatCode="d\-mmm"/>
    <numFmt numFmtId="173" formatCode="mmmm\-yy"/>
    <numFmt numFmtId="174" formatCode="h:mm"/>
    <numFmt numFmtId="175" formatCode="h:mm:ss"/>
    <numFmt numFmtId="176" formatCode="m/d/yy\ h:mm"/>
    <numFmt numFmtId="177" formatCode="#,##0_);\(#,##0\)"/>
    <numFmt numFmtId="178" formatCode="#,##0_);[Red]\(#,##0\)"/>
    <numFmt numFmtId="179" formatCode="#,##0.00_);\(#,##0.00\)"/>
    <numFmt numFmtId="180" formatCode="#,##0.00_);[Red]\(#,##0.00\)"/>
    <numFmt numFmtId="181" formatCode="#\ #0.0E+0"/>
    <numFmt numFmtId="182" formatCode="_-* #,##0\ _₺_-;\-* #,##0\ _₺_-;_-* &quot;-&quot;\ _₺_-;_-@_-"/>
    <numFmt numFmtId="183" formatCode="_-* #,##0.00\ _₺_-;\-* #,##0.00\ _₺_-;_-* &quot;-&quot;??\ _₺_-;_-@_-"/>
    <numFmt numFmtId="184" formatCode="#,##0\ &quot;TL&quot;;\-#,##0\ &quot;TL&quot;"/>
    <numFmt numFmtId="185" formatCode="#,##0\ &quot;TL&quot;;[Red]\-#,##0\ &quot;TL&quot;"/>
    <numFmt numFmtId="186" formatCode="#,##0.00\ &quot;TL&quot;;\-#,##0.00\ &quot;TL&quot;"/>
    <numFmt numFmtId="187" formatCode="#,##0.00\ &quot;TL&quot;;[Red]\-#,##0.00\ &quot;TL&quot;"/>
    <numFmt numFmtId="188" formatCode="_-* #,##0\ &quot;TL&quot;_-;\-* #,##0\ &quot;TL&quot;_-;_-* &quot;-&quot;\ &quot;TL&quot;_-;_-@_-"/>
    <numFmt numFmtId="189" formatCode="_-* #,##0\ _T_L_-;\-* #,##0\ _T_L_-;_-* &quot;-&quot;\ _T_L_-;_-@_-"/>
    <numFmt numFmtId="190" formatCode="_-* #,##0.00\ &quot;TL&quot;_-;\-* #,##0.00\ &quot;TL&quot;_-;_-* &quot;-&quot;??\ &quot;TL&quot;_-;_-@_-"/>
    <numFmt numFmtId="191" formatCode="_-* #,##0.00\ _T_L_-;\-* #,##0.00\ _T_L_-;_-* &quot;-&quot;??\ _T_L_-;_-@_-"/>
    <numFmt numFmtId="192" formatCode="0.000"/>
    <numFmt numFmtId="193" formatCode="0.000000"/>
    <numFmt numFmtId="194" formatCode="0.00000000"/>
  </numFmts>
  <fonts count="39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92" fontId="1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2" fontId="0" fillId="0" borderId="11" xfId="0" applyNumberFormat="1" applyFont="1" applyBorder="1" applyAlignment="1">
      <alignment horizontal="left" vertical="center"/>
    </xf>
    <xf numFmtId="192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92" fontId="0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 horizontal="right"/>
    </xf>
    <xf numFmtId="192" fontId="0" fillId="0" borderId="16" xfId="0" applyNumberFormat="1" applyFont="1" applyBorder="1" applyAlignment="1">
      <alignment horizontal="left"/>
    </xf>
    <xf numFmtId="192" fontId="0" fillId="0" borderId="16" xfId="0" applyNumberFormat="1" applyFont="1" applyBorder="1" applyAlignment="1">
      <alignment horizontal="right"/>
    </xf>
    <xf numFmtId="0" fontId="0" fillId="0" borderId="16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194" fontId="0" fillId="0" borderId="16" xfId="0" applyNumberFormat="1" applyFont="1" applyBorder="1" applyAlignment="1">
      <alignment horizontal="center"/>
    </xf>
    <xf numFmtId="192" fontId="0" fillId="0" borderId="16" xfId="0" applyNumberFormat="1" applyFont="1" applyBorder="1" applyAlignment="1">
      <alignment/>
    </xf>
    <xf numFmtId="193" fontId="0" fillId="0" borderId="14" xfId="0" applyNumberFormat="1" applyFont="1" applyBorder="1" applyAlignment="1">
      <alignment horizontal="right"/>
    </xf>
    <xf numFmtId="19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left"/>
    </xf>
    <xf numFmtId="192" fontId="0" fillId="0" borderId="10" xfId="0" applyNumberFormat="1" applyFont="1" applyBorder="1" applyAlignment="1">
      <alignment horizontal="left"/>
    </xf>
    <xf numFmtId="2" fontId="0" fillId="0" borderId="10" xfId="0" applyNumberFormat="1" applyFont="1" applyBorder="1" applyAlignment="1">
      <alignment horizontal="right"/>
    </xf>
    <xf numFmtId="192" fontId="0" fillId="0" borderId="0" xfId="0" applyNumberFormat="1" applyFont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2" fontId="0" fillId="0" borderId="19" xfId="0" applyNumberFormat="1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left" vertical="center"/>
    </xf>
    <xf numFmtId="0" fontId="0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2" fontId="0" fillId="0" borderId="36" xfId="0" applyNumberFormat="1" applyFont="1" applyBorder="1" applyAlignment="1">
      <alignment horizontal="left"/>
    </xf>
    <xf numFmtId="192" fontId="0" fillId="0" borderId="36" xfId="0" applyNumberFormat="1" applyFont="1" applyBorder="1" applyAlignment="1">
      <alignment horizontal="left"/>
    </xf>
    <xf numFmtId="2" fontId="0" fillId="0" borderId="36" xfId="0" applyNumberFormat="1" applyFont="1" applyBorder="1" applyAlignment="1">
      <alignment horizontal="right"/>
    </xf>
    <xf numFmtId="0" fontId="0" fillId="0" borderId="37" xfId="0" applyFont="1" applyBorder="1" applyAlignment="1">
      <alignment/>
    </xf>
    <xf numFmtId="0" fontId="2" fillId="0" borderId="38" xfId="0" applyFont="1" applyFill="1" applyBorder="1" applyAlignment="1">
      <alignment horizontal="center"/>
    </xf>
    <xf numFmtId="0" fontId="0" fillId="0" borderId="26" xfId="0" applyFont="1" applyBorder="1" applyAlignment="1">
      <alignment/>
    </xf>
    <xf numFmtId="2" fontId="0" fillId="0" borderId="32" xfId="0" applyNumberFormat="1" applyFont="1" applyBorder="1" applyAlignment="1">
      <alignment horizontal="right"/>
    </xf>
    <xf numFmtId="0" fontId="0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2" fillId="0" borderId="41" xfId="0" applyFont="1" applyFill="1" applyBorder="1" applyAlignment="1">
      <alignment horizontal="center"/>
    </xf>
    <xf numFmtId="0" fontId="0" fillId="0" borderId="42" xfId="0" applyFont="1" applyBorder="1" applyAlignment="1">
      <alignment/>
    </xf>
    <xf numFmtId="2" fontId="0" fillId="0" borderId="43" xfId="0" applyNumberFormat="1" applyFont="1" applyBorder="1" applyAlignment="1">
      <alignment horizontal="right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N264"/>
  <sheetViews>
    <sheetView tabSelected="1" zoomScaleSheetLayoutView="100" zoomScalePageLayoutView="0" workbookViewId="0" topLeftCell="E1">
      <selection activeCell="AC21" sqref="AC21"/>
    </sheetView>
  </sheetViews>
  <sheetFormatPr defaultColWidth="9.140625" defaultRowHeight="12.75"/>
  <cols>
    <col min="1" max="2" width="9.140625" style="2" customWidth="1"/>
    <col min="3" max="4" width="11.7109375" style="2" customWidth="1"/>
    <col min="5" max="5" width="23.8515625" style="2" customWidth="1"/>
    <col min="6" max="6" width="21.28125" style="2" customWidth="1"/>
    <col min="7" max="10" width="11.7109375" style="2" hidden="1" customWidth="1"/>
    <col min="11" max="17" width="11.7109375" style="2" customWidth="1"/>
    <col min="18" max="22" width="11.7109375" style="2" hidden="1" customWidth="1"/>
    <col min="23" max="23" width="20.7109375" style="2" hidden="1" customWidth="1"/>
    <col min="24" max="24" width="11.7109375" style="2" hidden="1" customWidth="1"/>
    <col min="25" max="25" width="10.7109375" style="2" hidden="1" customWidth="1"/>
    <col min="26" max="26" width="14.00390625" style="2" customWidth="1"/>
    <col min="27" max="29" width="11.7109375" style="2" customWidth="1"/>
    <col min="30" max="32" width="11.7109375" style="2" hidden="1" customWidth="1"/>
    <col min="33" max="33" width="16.140625" style="2" customWidth="1"/>
    <col min="34" max="34" width="17.00390625" style="2" customWidth="1"/>
    <col min="35" max="35" width="15.8515625" style="2" customWidth="1"/>
    <col min="36" max="36" width="19.00390625" style="2" customWidth="1"/>
    <col min="37" max="37" width="12.140625" style="2" customWidth="1"/>
    <col min="38" max="38" width="0.71875" style="2" customWidth="1"/>
    <col min="39" max="39" width="9.140625" style="2" hidden="1" customWidth="1"/>
    <col min="40" max="40" width="0" style="2" hidden="1" customWidth="1"/>
    <col min="41" max="16384" width="9.140625" style="2" customWidth="1"/>
  </cols>
  <sheetData>
    <row r="1" ht="12.75">
      <c r="A1" s="2" t="s">
        <v>45</v>
      </c>
    </row>
    <row r="2" spans="1:37" ht="16.5" thickBot="1">
      <c r="A2" s="78" t="s">
        <v>723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</row>
    <row r="3" spans="1:40" ht="12.75">
      <c r="A3" s="33" t="s">
        <v>31</v>
      </c>
      <c r="B3" s="34"/>
      <c r="C3" s="35" t="s">
        <v>55</v>
      </c>
      <c r="D3" s="84" t="s">
        <v>7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8"/>
      <c r="AI3" s="36" t="s">
        <v>21</v>
      </c>
      <c r="AJ3" s="37">
        <f ca="1">_xlfn.SHEET()+AN3-1</f>
        <v>1</v>
      </c>
      <c r="AK3" s="38"/>
      <c r="AL3" s="3"/>
      <c r="AN3" s="3" t="s">
        <v>54</v>
      </c>
    </row>
    <row r="4" spans="1:37" ht="12.75">
      <c r="A4" s="39" t="s">
        <v>32</v>
      </c>
      <c r="B4" s="4"/>
      <c r="C4" s="5" t="s">
        <v>56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/>
      <c r="Z4" s="7"/>
      <c r="AA4" s="7"/>
      <c r="AB4" s="7"/>
      <c r="AC4" s="7"/>
      <c r="AD4" s="7"/>
      <c r="AE4" s="7"/>
      <c r="AF4" s="7"/>
      <c r="AG4" s="7"/>
      <c r="AH4" s="7"/>
      <c r="AI4" s="8" t="s">
        <v>36</v>
      </c>
      <c r="AJ4" s="9" t="s">
        <v>60</v>
      </c>
      <c r="AK4" s="40"/>
    </row>
    <row r="5" spans="1:37" ht="12.75">
      <c r="A5" s="41" t="s">
        <v>33</v>
      </c>
      <c r="B5" s="10"/>
      <c r="C5" s="5" t="s">
        <v>59</v>
      </c>
      <c r="D5" s="86" t="s">
        <v>43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7"/>
      <c r="AI5" s="8" t="s">
        <v>37</v>
      </c>
      <c r="AJ5" s="7" t="s">
        <v>62</v>
      </c>
      <c r="AK5" s="40"/>
    </row>
    <row r="6" spans="1:37" ht="12.75">
      <c r="A6" s="42" t="s">
        <v>34</v>
      </c>
      <c r="B6" s="4"/>
      <c r="C6" s="5" t="s">
        <v>57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7"/>
      <c r="Z6" s="7"/>
      <c r="AA6" s="7"/>
      <c r="AB6" s="7"/>
      <c r="AC6" s="7"/>
      <c r="AD6" s="7"/>
      <c r="AE6" s="7"/>
      <c r="AF6" s="7"/>
      <c r="AG6" s="7"/>
      <c r="AH6" s="7"/>
      <c r="AI6" s="8" t="s">
        <v>38</v>
      </c>
      <c r="AJ6" s="7" t="s">
        <v>61</v>
      </c>
      <c r="AK6" s="40"/>
    </row>
    <row r="7" spans="1:37" ht="13.5" thickBot="1">
      <c r="A7" s="43" t="s">
        <v>35</v>
      </c>
      <c r="B7" s="44"/>
      <c r="C7" s="45" t="s">
        <v>58</v>
      </c>
      <c r="D7" s="89" t="s">
        <v>20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90"/>
      <c r="AI7" s="46"/>
      <c r="AJ7" s="47"/>
      <c r="AK7" s="48"/>
    </row>
    <row r="8" spans="1:37" ht="24" customHeight="1" thickBot="1">
      <c r="A8" s="83" t="s">
        <v>19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5"/>
      <c r="Z8" s="68"/>
      <c r="AA8" s="86" t="s">
        <v>18</v>
      </c>
      <c r="AB8" s="86"/>
      <c r="AC8" s="86"/>
      <c r="AD8" s="86"/>
      <c r="AE8" s="86"/>
      <c r="AF8" s="86"/>
      <c r="AG8" s="86"/>
      <c r="AH8" s="86"/>
      <c r="AI8" s="86"/>
      <c r="AJ8" s="86"/>
      <c r="AK8" s="87"/>
    </row>
    <row r="9" spans="1:37" ht="12.75">
      <c r="A9" s="33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50"/>
      <c r="Z9" s="6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50"/>
    </row>
    <row r="10" spans="1:37" ht="12.75">
      <c r="A10" s="51" t="s">
        <v>0</v>
      </c>
      <c r="B10" s="13" t="s">
        <v>21</v>
      </c>
      <c r="C10" s="13" t="s">
        <v>1</v>
      </c>
      <c r="D10" s="14" t="s">
        <v>8</v>
      </c>
      <c r="E10" s="14" t="s">
        <v>22</v>
      </c>
      <c r="F10" s="14" t="s">
        <v>30</v>
      </c>
      <c r="G10" s="14" t="s">
        <v>15</v>
      </c>
      <c r="H10" s="14" t="s">
        <v>16</v>
      </c>
      <c r="I10" s="14"/>
      <c r="J10" s="14"/>
      <c r="K10" s="14" t="s">
        <v>39</v>
      </c>
      <c r="L10" s="14" t="s">
        <v>5</v>
      </c>
      <c r="M10" s="14" t="s">
        <v>40</v>
      </c>
      <c r="N10" s="14" t="s">
        <v>41</v>
      </c>
      <c r="O10" s="14" t="s">
        <v>23</v>
      </c>
      <c r="P10" s="14" t="s">
        <v>9</v>
      </c>
      <c r="Q10" s="14" t="s">
        <v>24</v>
      </c>
      <c r="R10" s="14" t="s">
        <v>25</v>
      </c>
      <c r="S10" s="14" t="s">
        <v>10</v>
      </c>
      <c r="T10" s="14" t="s">
        <v>11</v>
      </c>
      <c r="U10" s="14" t="s">
        <v>12</v>
      </c>
      <c r="V10" s="14" t="s">
        <v>13</v>
      </c>
      <c r="W10" s="15" t="s">
        <v>44</v>
      </c>
      <c r="X10" s="14" t="s">
        <v>14</v>
      </c>
      <c r="Y10" s="52" t="s">
        <v>2</v>
      </c>
      <c r="Z10" s="70" t="s">
        <v>42</v>
      </c>
      <c r="AA10" s="64" t="s">
        <v>6</v>
      </c>
      <c r="AB10" s="16" t="s">
        <v>4</v>
      </c>
      <c r="AC10" s="16" t="s">
        <v>5</v>
      </c>
      <c r="AD10" s="16" t="s">
        <v>17</v>
      </c>
      <c r="AE10" s="16"/>
      <c r="AF10" s="16"/>
      <c r="AG10" s="16" t="s">
        <v>3</v>
      </c>
      <c r="AH10" s="16" t="s">
        <v>26</v>
      </c>
      <c r="AI10" s="16" t="s">
        <v>27</v>
      </c>
      <c r="AJ10" s="16" t="s">
        <v>28</v>
      </c>
      <c r="AK10" s="52" t="s">
        <v>29</v>
      </c>
    </row>
    <row r="11" spans="1:37" ht="12.75">
      <c r="A11" s="53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40"/>
      <c r="Z11" s="71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40"/>
    </row>
    <row r="12" spans="1:38" ht="12.75">
      <c r="A12" s="54">
        <v>181</v>
      </c>
      <c r="B12" s="17">
        <v>1121</v>
      </c>
      <c r="C12" s="17" t="s">
        <v>46</v>
      </c>
      <c r="D12" s="18">
        <v>6657.07</v>
      </c>
      <c r="E12" s="19" t="s">
        <v>47</v>
      </c>
      <c r="F12" s="19" t="s">
        <v>48</v>
      </c>
      <c r="G12" s="20">
        <v>1</v>
      </c>
      <c r="H12" s="20">
        <v>1</v>
      </c>
      <c r="I12" s="18">
        <f>ROUND(G12,0)</f>
        <v>1</v>
      </c>
      <c r="J12" s="18">
        <f>ROUND(H12,0)</f>
        <v>1</v>
      </c>
      <c r="K12" s="21" t="str">
        <f>IF(I12=J12,"TAM",(CONCATENATE(G12,"/",H12)))</f>
        <v>TAM</v>
      </c>
      <c r="L12" s="22">
        <f>6657.07*1/1</f>
        <v>6657.07</v>
      </c>
      <c r="M12" s="23">
        <v>0</v>
      </c>
      <c r="N12" s="18" t="str">
        <f>IF(M12=0,"0",(O12*M12))</f>
        <v>0</v>
      </c>
      <c r="O12" s="18">
        <f>IF(W12=1,L12,((D12*G12/H12)-P12)/(1-V12)-S12-T12)</f>
        <v>6657.07</v>
      </c>
      <c r="P12" s="18">
        <v>0</v>
      </c>
      <c r="Q12" s="18">
        <f>IF(U12=0,"0",O12*U12)</f>
        <v>1962.2667090167822</v>
      </c>
      <c r="R12" s="24">
        <f>IF(U12=0,(((D12*G12/H12)-P12-S12-T12)/(1-V12)),(((D12*G12/H12)-P12-S12-T12)/(1-V12))-((D12*G12/H12)-P12-S12-T12)*U12/(1-V12))</f>
        <v>4694.803290983217</v>
      </c>
      <c r="S12" s="20">
        <v>0</v>
      </c>
      <c r="T12" s="20">
        <v>0</v>
      </c>
      <c r="U12" s="20">
        <v>0.294764319590568</v>
      </c>
      <c r="V12" s="20">
        <v>0</v>
      </c>
      <c r="W12" s="25">
        <f>IF(V12&gt;U12,1,V12)</f>
        <v>0</v>
      </c>
      <c r="X12" s="20">
        <v>1</v>
      </c>
      <c r="Y12" s="66">
        <v>0</v>
      </c>
      <c r="Z12" s="72" t="str">
        <f>IF(OR(W12=1,W12=0),"0",(Q12-N12))</f>
        <v>0</v>
      </c>
      <c r="AA12" s="67" t="s">
        <v>51</v>
      </c>
      <c r="AB12" s="18" t="s">
        <v>53</v>
      </c>
      <c r="AC12" s="18">
        <v>1933.03</v>
      </c>
      <c r="AD12" s="18">
        <v>1933.03</v>
      </c>
      <c r="AE12" s="18">
        <f>ROUND(AC12*100,0)</f>
        <v>193303</v>
      </c>
      <c r="AF12" s="18">
        <f>ROUND(AD12*100,0)</f>
        <v>193303</v>
      </c>
      <c r="AG12" s="26" t="str">
        <f>IF(AC12=AD12,"TAM",(CONCATENATE(AE12,"/",AF12)))</f>
        <v>TAM</v>
      </c>
      <c r="AH12" s="27" t="s">
        <v>50</v>
      </c>
      <c r="AI12" s="27" t="s">
        <v>50</v>
      </c>
      <c r="AJ12" s="79" t="s">
        <v>52</v>
      </c>
      <c r="AK12" s="55" t="s">
        <v>50</v>
      </c>
      <c r="AL12" s="2" t="s">
        <v>50</v>
      </c>
    </row>
    <row r="13" spans="1:37" ht="54" customHeight="1">
      <c r="A13" s="56"/>
      <c r="B13" s="28"/>
      <c r="C13" s="28"/>
      <c r="D13" s="29"/>
      <c r="E13" s="1" t="s">
        <v>49</v>
      </c>
      <c r="F13" s="30"/>
      <c r="G13" s="30"/>
      <c r="H13" s="30"/>
      <c r="I13" s="29"/>
      <c r="J13" s="29"/>
      <c r="K13" s="31"/>
      <c r="L13" s="31"/>
      <c r="M13" s="31"/>
      <c r="N13" s="31"/>
      <c r="O13" s="31"/>
      <c r="P13" s="30"/>
      <c r="Q13" s="30"/>
      <c r="R13" s="30"/>
      <c r="S13" s="30"/>
      <c r="T13" s="30"/>
      <c r="U13" s="30"/>
      <c r="V13" s="30"/>
      <c r="W13" s="30"/>
      <c r="X13" s="30"/>
      <c r="Y13" s="57"/>
      <c r="Z13" s="73"/>
      <c r="AA13" s="12"/>
      <c r="AB13" s="28"/>
      <c r="AC13" s="28"/>
      <c r="AD13" s="28"/>
      <c r="AE13" s="28"/>
      <c r="AF13" s="28"/>
      <c r="AG13" s="28"/>
      <c r="AH13" s="28"/>
      <c r="AI13" s="28"/>
      <c r="AJ13" s="81"/>
      <c r="AK13" s="57"/>
    </row>
    <row r="14" spans="1:38" ht="12.75" customHeight="1">
      <c r="A14" s="54">
        <v>180</v>
      </c>
      <c r="B14" s="17">
        <v>1120</v>
      </c>
      <c r="C14" s="17" t="s">
        <v>63</v>
      </c>
      <c r="D14" s="18">
        <v>6723.2</v>
      </c>
      <c r="E14" s="19" t="s">
        <v>64</v>
      </c>
      <c r="F14" s="19" t="s">
        <v>65</v>
      </c>
      <c r="G14" s="20">
        <v>1</v>
      </c>
      <c r="H14" s="20">
        <v>1</v>
      </c>
      <c r="I14" s="18">
        <f>ROUND(G14,0)</f>
        <v>1</v>
      </c>
      <c r="J14" s="18">
        <f>ROUND(H14,0)</f>
        <v>1</v>
      </c>
      <c r="K14" s="21" t="str">
        <f>IF(I14=J14,"TAM",(CONCATENATE(G14,"/",H14)))</f>
        <v>TAM</v>
      </c>
      <c r="L14" s="22">
        <f>6723.2*1/1</f>
        <v>6723.2</v>
      </c>
      <c r="M14" s="23">
        <v>0</v>
      </c>
      <c r="N14" s="18" t="str">
        <f>IF(M14=0,"0",(O14*M14))</f>
        <v>0</v>
      </c>
      <c r="O14" s="18">
        <f>IF(W14=1,L14,((D14*G14/H14)-P14)/(1-V14)-S14-T14)</f>
        <v>6723.2</v>
      </c>
      <c r="P14" s="18">
        <v>0</v>
      </c>
      <c r="Q14" s="18">
        <f>IF(U14=0,"0",O14*U14)</f>
        <v>1981.7594734713066</v>
      </c>
      <c r="R14" s="24">
        <f>IF(U14=0,(((D14*G14/H14)-P14-S14-T14)/(1-V14)),(((D14*G14/H14)-P14-S14-T14)/(1-V14))-((D14*G14/H14)-P14-S14-T14)*U14/(1-V14))</f>
        <v>4741.440526528693</v>
      </c>
      <c r="S14" s="20">
        <v>0</v>
      </c>
      <c r="T14" s="20">
        <v>0</v>
      </c>
      <c r="U14" s="20">
        <v>0.294764319590568</v>
      </c>
      <c r="V14" s="20">
        <v>0</v>
      </c>
      <c r="W14" s="25">
        <f>IF(V14&gt;U14,1,V14)</f>
        <v>0</v>
      </c>
      <c r="X14" s="20">
        <v>1</v>
      </c>
      <c r="Y14" s="66">
        <v>0</v>
      </c>
      <c r="Z14" s="72" t="str">
        <f>IF(OR(W14=1,W14=0),"0",(Q14-N14))</f>
        <v>0</v>
      </c>
      <c r="AA14" s="67" t="s">
        <v>66</v>
      </c>
      <c r="AB14" s="18" t="s">
        <v>67</v>
      </c>
      <c r="AC14" s="18">
        <v>1700</v>
      </c>
      <c r="AD14" s="18">
        <v>1700</v>
      </c>
      <c r="AE14" s="18">
        <f>ROUND(AC14*100,0)</f>
        <v>170000</v>
      </c>
      <c r="AF14" s="18">
        <f>ROUND(AD14*100,0)</f>
        <v>170000</v>
      </c>
      <c r="AG14" s="26" t="str">
        <f>IF(AC14=AD14,"TAM",(CONCATENATE(AE14,"/",AF14)))</f>
        <v>TAM</v>
      </c>
      <c r="AH14" s="27" t="s">
        <v>50</v>
      </c>
      <c r="AI14" s="27" t="s">
        <v>50</v>
      </c>
      <c r="AJ14" s="75" t="s">
        <v>714</v>
      </c>
      <c r="AK14" s="55" t="s">
        <v>50</v>
      </c>
      <c r="AL14" s="2" t="s">
        <v>50</v>
      </c>
    </row>
    <row r="15" spans="1:37" ht="12.75" customHeight="1">
      <c r="A15" s="56"/>
      <c r="B15" s="28"/>
      <c r="C15" s="28"/>
      <c r="D15" s="29"/>
      <c r="E15" s="30" t="s">
        <v>50</v>
      </c>
      <c r="F15" s="30"/>
      <c r="G15" s="30"/>
      <c r="H15" s="30"/>
      <c r="I15" s="29"/>
      <c r="J15" s="29"/>
      <c r="K15" s="31"/>
      <c r="L15" s="31"/>
      <c r="M15" s="31"/>
      <c r="N15" s="31"/>
      <c r="O15" s="31"/>
      <c r="P15" s="30"/>
      <c r="Q15" s="30"/>
      <c r="R15" s="30"/>
      <c r="S15" s="30"/>
      <c r="T15" s="30"/>
      <c r="U15" s="30"/>
      <c r="V15" s="30"/>
      <c r="W15" s="30"/>
      <c r="X15" s="30"/>
      <c r="Y15" s="57"/>
      <c r="Z15" s="73"/>
      <c r="AA15" s="12"/>
      <c r="AB15" s="28"/>
      <c r="AC15" s="28"/>
      <c r="AD15" s="28"/>
      <c r="AE15" s="28"/>
      <c r="AF15" s="28"/>
      <c r="AG15" s="28"/>
      <c r="AH15" s="28"/>
      <c r="AI15" s="28"/>
      <c r="AJ15" s="82"/>
      <c r="AK15" s="57"/>
    </row>
    <row r="16" spans="1:38" ht="12.75" customHeight="1">
      <c r="A16" s="54">
        <v>180</v>
      </c>
      <c r="B16" s="17">
        <v>1120</v>
      </c>
      <c r="C16" s="17" t="s">
        <v>68</v>
      </c>
      <c r="D16" s="18">
        <v>6723.2</v>
      </c>
      <c r="E16" s="19" t="s">
        <v>69</v>
      </c>
      <c r="F16" s="19" t="s">
        <v>70</v>
      </c>
      <c r="G16" s="20">
        <v>1</v>
      </c>
      <c r="H16" s="20">
        <v>1</v>
      </c>
      <c r="I16" s="18">
        <f>ROUND(G16,0)</f>
        <v>1</v>
      </c>
      <c r="J16" s="18">
        <f>ROUND(H16,0)</f>
        <v>1</v>
      </c>
      <c r="K16" s="21" t="str">
        <f>IF(I16=J16,"TAM",(CONCATENATE(G16,"/",H16)))</f>
        <v>TAM</v>
      </c>
      <c r="L16" s="22">
        <f>6723.2*1/1</f>
        <v>6723.2</v>
      </c>
      <c r="M16" s="23">
        <v>0</v>
      </c>
      <c r="N16" s="18" t="str">
        <f>IF(M16=0,"0",(O16*M16))</f>
        <v>0</v>
      </c>
      <c r="O16" s="18">
        <f>IF(W16=1,L16,((D16*G16/H16)-P16)/(1-V16)-S16-T16)</f>
        <v>6723.2</v>
      </c>
      <c r="P16" s="18">
        <v>0</v>
      </c>
      <c r="Q16" s="18">
        <f>IF(U16=0,"0",O16*U16)</f>
        <v>1981.7594734713066</v>
      </c>
      <c r="R16" s="24">
        <f>IF(U16=0,(((D16*G16/H16)-P16-S16-T16)/(1-V16)),(((D16*G16/H16)-P16-S16-T16)/(1-V16))-((D16*G16/H16)-P16-S16-T16)*U16/(1-V16))</f>
        <v>4741.440526528693</v>
      </c>
      <c r="S16" s="20">
        <v>0</v>
      </c>
      <c r="T16" s="20">
        <v>0</v>
      </c>
      <c r="U16" s="20">
        <v>0.294764319590568</v>
      </c>
      <c r="V16" s="20">
        <v>0</v>
      </c>
      <c r="W16" s="25">
        <f>IF(V16&gt;U16,1,V16)</f>
        <v>0</v>
      </c>
      <c r="X16" s="20">
        <v>1</v>
      </c>
      <c r="Y16" s="66">
        <v>0</v>
      </c>
      <c r="Z16" s="72" t="str">
        <f>IF(OR(W16=1,W16=0),"0",(Q16-N16))</f>
        <v>0</v>
      </c>
      <c r="AA16" s="67" t="s">
        <v>71</v>
      </c>
      <c r="AB16" s="18" t="s">
        <v>73</v>
      </c>
      <c r="AC16" s="18">
        <v>3041.44</v>
      </c>
      <c r="AD16" s="18">
        <v>5513.14</v>
      </c>
      <c r="AE16" s="18">
        <f>ROUND(AC16*100,0)</f>
        <v>304144</v>
      </c>
      <c r="AF16" s="18">
        <f>ROUND(AD16*100,0)</f>
        <v>551314</v>
      </c>
      <c r="AG16" s="26" t="str">
        <f>IF(AC16=AD16,"TAM",(CONCATENATE(AE16,"/",AF16)))</f>
        <v>304144/551314</v>
      </c>
      <c r="AH16" s="27" t="s">
        <v>50</v>
      </c>
      <c r="AI16" s="27" t="s">
        <v>50</v>
      </c>
      <c r="AJ16" s="79" t="s">
        <v>72</v>
      </c>
      <c r="AK16" s="55" t="s">
        <v>50</v>
      </c>
      <c r="AL16" s="2" t="s">
        <v>50</v>
      </c>
    </row>
    <row r="17" spans="1:37" ht="12.75" customHeight="1">
      <c r="A17" s="56"/>
      <c r="B17" s="28"/>
      <c r="C17" s="28"/>
      <c r="D17" s="29"/>
      <c r="E17" s="30" t="s">
        <v>50</v>
      </c>
      <c r="F17" s="30"/>
      <c r="G17" s="30"/>
      <c r="H17" s="30"/>
      <c r="I17" s="29"/>
      <c r="J17" s="29"/>
      <c r="K17" s="31"/>
      <c r="L17" s="31"/>
      <c r="M17" s="31"/>
      <c r="N17" s="31"/>
      <c r="O17" s="31"/>
      <c r="P17" s="30"/>
      <c r="Q17" s="30"/>
      <c r="R17" s="30"/>
      <c r="S17" s="30"/>
      <c r="T17" s="30"/>
      <c r="U17" s="30"/>
      <c r="V17" s="30"/>
      <c r="W17" s="30"/>
      <c r="X17" s="30"/>
      <c r="Y17" s="57"/>
      <c r="Z17" s="73"/>
      <c r="AA17" s="12"/>
      <c r="AB17" s="28"/>
      <c r="AC17" s="28"/>
      <c r="AD17" s="28"/>
      <c r="AE17" s="28"/>
      <c r="AF17" s="28"/>
      <c r="AG17" s="28"/>
      <c r="AH17" s="28"/>
      <c r="AI17" s="28"/>
      <c r="AJ17" s="80"/>
      <c r="AK17" s="57"/>
    </row>
    <row r="18" spans="1:38" ht="12.75" customHeight="1">
      <c r="A18" s="54">
        <v>181</v>
      </c>
      <c r="B18" s="17">
        <v>1121</v>
      </c>
      <c r="C18" s="17" t="s">
        <v>74</v>
      </c>
      <c r="D18" s="18">
        <v>6657.07</v>
      </c>
      <c r="E18" s="19" t="s">
        <v>75</v>
      </c>
      <c r="F18" s="19" t="s">
        <v>76</v>
      </c>
      <c r="G18" s="20">
        <v>1</v>
      </c>
      <c r="H18" s="20">
        <v>1</v>
      </c>
      <c r="I18" s="18">
        <f>ROUND(G18,0)</f>
        <v>1</v>
      </c>
      <c r="J18" s="18">
        <f>ROUND(H18,0)</f>
        <v>1</v>
      </c>
      <c r="K18" s="21" t="str">
        <f>IF(I18=J18,"TAM",(CONCATENATE(G18,"/",H18)))</f>
        <v>TAM</v>
      </c>
      <c r="L18" s="22">
        <f>6657.07*1/1</f>
        <v>6657.07</v>
      </c>
      <c r="M18" s="23">
        <v>0</v>
      </c>
      <c r="N18" s="18" t="str">
        <f>IF(M18=0,"0",(O18*M18))</f>
        <v>0</v>
      </c>
      <c r="O18" s="18">
        <f>IF(W18=1,L18,((D18*G18/H18)-P18)/(1-V18)-S18-T18)</f>
        <v>6657.07</v>
      </c>
      <c r="P18" s="18">
        <v>0</v>
      </c>
      <c r="Q18" s="18">
        <f>IF(U18=0,"0",O18*U18)</f>
        <v>1962.2667090167822</v>
      </c>
      <c r="R18" s="24">
        <f>IF(U18=0,(((D18*G18/H18)-P18-S18-T18)/(1-V18)),(((D18*G18/H18)-P18-S18-T18)/(1-V18))-((D18*G18/H18)-P18-S18-T18)*U18/(1-V18))</f>
        <v>4694.803290983217</v>
      </c>
      <c r="S18" s="20">
        <v>0</v>
      </c>
      <c r="T18" s="20">
        <v>0</v>
      </c>
      <c r="U18" s="20">
        <v>0.294764319590568</v>
      </c>
      <c r="V18" s="20">
        <v>0</v>
      </c>
      <c r="W18" s="25">
        <f>IF(V18&gt;U18,1,V18)</f>
        <v>0</v>
      </c>
      <c r="X18" s="20">
        <v>1</v>
      </c>
      <c r="Y18" s="66">
        <v>0</v>
      </c>
      <c r="Z18" s="72" t="str">
        <f>IF(OR(W18=1,W18=0),"0",(Q18-N18))</f>
        <v>0</v>
      </c>
      <c r="AA18" s="67" t="s">
        <v>78</v>
      </c>
      <c r="AB18" s="18" t="s">
        <v>79</v>
      </c>
      <c r="AC18" s="18">
        <v>2471.7</v>
      </c>
      <c r="AD18" s="18">
        <v>5513.14</v>
      </c>
      <c r="AE18" s="18">
        <f>ROUND(AC18*100,0)</f>
        <v>247170</v>
      </c>
      <c r="AF18" s="18">
        <f>ROUND(AD18*100,0)</f>
        <v>551314</v>
      </c>
      <c r="AG18" s="26" t="str">
        <f>IF(AC18=AD18,"TAM",(CONCATENATE(AE18,"/",AF18)))</f>
        <v>247170/551314</v>
      </c>
      <c r="AH18" s="27" t="s">
        <v>50</v>
      </c>
      <c r="AI18" s="27" t="s">
        <v>50</v>
      </c>
      <c r="AJ18" s="80"/>
      <c r="AK18" s="55" t="s">
        <v>50</v>
      </c>
      <c r="AL18" s="2" t="s">
        <v>50</v>
      </c>
    </row>
    <row r="19" spans="1:37" ht="56.25" customHeight="1">
      <c r="A19" s="56"/>
      <c r="B19" s="28"/>
      <c r="C19" s="28"/>
      <c r="D19" s="29"/>
      <c r="E19" s="1" t="s">
        <v>77</v>
      </c>
      <c r="F19" s="30"/>
      <c r="G19" s="30"/>
      <c r="H19" s="30"/>
      <c r="I19" s="29"/>
      <c r="J19" s="29"/>
      <c r="K19" s="31"/>
      <c r="L19" s="31"/>
      <c r="M19" s="31"/>
      <c r="N19" s="31"/>
      <c r="O19" s="31"/>
      <c r="P19" s="30"/>
      <c r="Q19" s="30"/>
      <c r="R19" s="30"/>
      <c r="S19" s="30"/>
      <c r="T19" s="30"/>
      <c r="U19" s="30"/>
      <c r="V19" s="30"/>
      <c r="W19" s="30"/>
      <c r="X19" s="30"/>
      <c r="Y19" s="57"/>
      <c r="Z19" s="73"/>
      <c r="AA19" s="12"/>
      <c r="AB19" s="28"/>
      <c r="AC19" s="28"/>
      <c r="AD19" s="28"/>
      <c r="AE19" s="28"/>
      <c r="AF19" s="28"/>
      <c r="AG19" s="28"/>
      <c r="AH19" s="28"/>
      <c r="AI19" s="28"/>
      <c r="AJ19" s="81"/>
      <c r="AK19" s="57"/>
    </row>
    <row r="20" spans="1:38" ht="12.75" customHeight="1">
      <c r="A20" s="54">
        <v>66</v>
      </c>
      <c r="B20" s="17">
        <v>1186</v>
      </c>
      <c r="C20" s="17" t="s">
        <v>80</v>
      </c>
      <c r="D20" s="18">
        <v>817.58</v>
      </c>
      <c r="E20" s="19" t="s">
        <v>81</v>
      </c>
      <c r="F20" s="19" t="s">
        <v>82</v>
      </c>
      <c r="G20" s="20">
        <v>1</v>
      </c>
      <c r="H20" s="20">
        <v>1</v>
      </c>
      <c r="I20" s="18">
        <f>ROUND(G20,0)</f>
        <v>1</v>
      </c>
      <c r="J20" s="18">
        <f>ROUND(H20,0)</f>
        <v>1</v>
      </c>
      <c r="K20" s="21" t="str">
        <f>IF(I20=J20,"TAM",(CONCATENATE(G20,"/",H20)))</f>
        <v>TAM</v>
      </c>
      <c r="L20" s="22">
        <f>817.58*1/1</f>
        <v>817.58</v>
      </c>
      <c r="M20" s="23">
        <v>0</v>
      </c>
      <c r="N20" s="18" t="str">
        <f>IF(M20=0,"0",(O20*M20))</f>
        <v>0</v>
      </c>
      <c r="O20" s="18">
        <f>IF(W20=1,L20,((D20*G20/H20)-P20)/(1-V20)-S20-T20)</f>
        <v>817.58</v>
      </c>
      <c r="P20" s="18">
        <v>0</v>
      </c>
      <c r="Q20" s="18">
        <f>IF(U20=0,"0",O20*U20)</f>
        <v>240.9934124108566</v>
      </c>
      <c r="R20" s="24">
        <f>IF(U20=0,(((D20*G20/H20)-P20-S20-T20)/(1-V20)),(((D20*G20/H20)-P20-S20-T20)/(1-V20))-((D20*G20/H20)-P20-S20-T20)*U20/(1-V20))</f>
        <v>576.5865875891434</v>
      </c>
      <c r="S20" s="20">
        <v>0</v>
      </c>
      <c r="T20" s="20">
        <v>0</v>
      </c>
      <c r="U20" s="20">
        <v>0.294764319590568</v>
      </c>
      <c r="V20" s="20">
        <v>0</v>
      </c>
      <c r="W20" s="25">
        <f>IF(V20&gt;U20,1,V20)</f>
        <v>0</v>
      </c>
      <c r="X20" s="20">
        <v>1</v>
      </c>
      <c r="Y20" s="66">
        <v>0</v>
      </c>
      <c r="Z20" s="72" t="str">
        <f>IF(OR(W20=1,W20=0),"0",(Q20-N20))</f>
        <v>0</v>
      </c>
      <c r="AA20" s="67" t="s">
        <v>83</v>
      </c>
      <c r="AB20" s="18" t="s">
        <v>85</v>
      </c>
      <c r="AC20" s="18">
        <v>576.59</v>
      </c>
      <c r="AD20" s="18">
        <v>1371.63</v>
      </c>
      <c r="AE20" s="18">
        <f>ROUND(AC20*100,0)</f>
        <v>57659</v>
      </c>
      <c r="AF20" s="18">
        <f>ROUND(AD20*100,0)</f>
        <v>137163</v>
      </c>
      <c r="AG20" s="26" t="str">
        <f>IF(AC20=AD20,"TAM",(CONCATENATE(AE20,"/",AF20)))</f>
        <v>57659/137163</v>
      </c>
      <c r="AH20" s="27" t="s">
        <v>50</v>
      </c>
      <c r="AI20" s="27" t="s">
        <v>50</v>
      </c>
      <c r="AJ20" s="79" t="s">
        <v>84</v>
      </c>
      <c r="AK20" s="55" t="s">
        <v>50</v>
      </c>
      <c r="AL20" s="2" t="s">
        <v>50</v>
      </c>
    </row>
    <row r="21" spans="1:37" ht="12.75" customHeight="1">
      <c r="A21" s="56"/>
      <c r="B21" s="28"/>
      <c r="C21" s="28"/>
      <c r="D21" s="29"/>
      <c r="E21" s="30" t="s">
        <v>50</v>
      </c>
      <c r="F21" s="30"/>
      <c r="G21" s="30"/>
      <c r="H21" s="30"/>
      <c r="I21" s="29"/>
      <c r="J21" s="29"/>
      <c r="K21" s="31"/>
      <c r="L21" s="31"/>
      <c r="M21" s="31"/>
      <c r="N21" s="31"/>
      <c r="O21" s="31"/>
      <c r="P21" s="30"/>
      <c r="Q21" s="30"/>
      <c r="R21" s="30"/>
      <c r="S21" s="30"/>
      <c r="T21" s="30"/>
      <c r="U21" s="30"/>
      <c r="V21" s="30"/>
      <c r="W21" s="30"/>
      <c r="X21" s="30"/>
      <c r="Y21" s="57"/>
      <c r="Z21" s="73"/>
      <c r="AA21" s="12"/>
      <c r="AB21" s="28"/>
      <c r="AC21" s="28"/>
      <c r="AD21" s="28"/>
      <c r="AE21" s="28"/>
      <c r="AF21" s="28"/>
      <c r="AG21" s="28"/>
      <c r="AH21" s="28"/>
      <c r="AI21" s="28"/>
      <c r="AJ21" s="80"/>
      <c r="AK21" s="57"/>
    </row>
    <row r="22" spans="1:38" ht="12.75" customHeight="1">
      <c r="A22" s="54">
        <v>67</v>
      </c>
      <c r="B22" s="17">
        <v>1187</v>
      </c>
      <c r="C22" s="17" t="s">
        <v>86</v>
      </c>
      <c r="D22" s="18">
        <v>1127.34</v>
      </c>
      <c r="E22" s="19" t="s">
        <v>87</v>
      </c>
      <c r="F22" s="19" t="s">
        <v>88</v>
      </c>
      <c r="G22" s="20">
        <v>1</v>
      </c>
      <c r="H22" s="20">
        <v>1</v>
      </c>
      <c r="I22" s="18">
        <f>ROUND(G22,0)</f>
        <v>1</v>
      </c>
      <c r="J22" s="18">
        <f>ROUND(H22,0)</f>
        <v>1</v>
      </c>
      <c r="K22" s="21" t="str">
        <f>IF(I22=J22,"TAM",(CONCATENATE(G22,"/",H22)))</f>
        <v>TAM</v>
      </c>
      <c r="L22" s="22">
        <f>1127.34*1/1</f>
        <v>1127.34</v>
      </c>
      <c r="M22" s="23">
        <v>0</v>
      </c>
      <c r="N22" s="18" t="str">
        <f>IF(M22=0,"0",(O22*M22))</f>
        <v>0</v>
      </c>
      <c r="O22" s="18">
        <f>IF(W22=1,L22,((D22*G22/H22)-P22)/(1-V22)-S22-T22)</f>
        <v>1127.34</v>
      </c>
      <c r="P22" s="18">
        <v>0</v>
      </c>
      <c r="Q22" s="18">
        <f>IF(U22=0,"0",O22*U22)</f>
        <v>332.2996080472309</v>
      </c>
      <c r="R22" s="24">
        <f>IF(U22=0,(((D22*G22/H22)-P22-S22-T22)/(1-V22)),(((D22*G22/H22)-P22-S22-T22)/(1-V22))-((D22*G22/H22)-P22-S22-T22)*U22/(1-V22))</f>
        <v>795.040391952769</v>
      </c>
      <c r="S22" s="20">
        <v>0</v>
      </c>
      <c r="T22" s="20">
        <v>0</v>
      </c>
      <c r="U22" s="20">
        <v>0.294764319590568</v>
      </c>
      <c r="V22" s="20">
        <v>0</v>
      </c>
      <c r="W22" s="25">
        <f>IF(V22&gt;U22,1,V22)</f>
        <v>0</v>
      </c>
      <c r="X22" s="20">
        <v>1</v>
      </c>
      <c r="Y22" s="66">
        <v>0</v>
      </c>
      <c r="Z22" s="72" t="str">
        <f>IF(OR(W22=1,W22=0),"0",(Q22-N22))</f>
        <v>0</v>
      </c>
      <c r="AA22" s="67" t="s">
        <v>89</v>
      </c>
      <c r="AB22" s="18" t="s">
        <v>90</v>
      </c>
      <c r="AC22" s="18">
        <v>795.04</v>
      </c>
      <c r="AD22" s="18">
        <v>1371.63</v>
      </c>
      <c r="AE22" s="18">
        <f>ROUND(AC22*100,0)</f>
        <v>79504</v>
      </c>
      <c r="AF22" s="18">
        <f>ROUND(AD22*100,0)</f>
        <v>137163</v>
      </c>
      <c r="AG22" s="26" t="str">
        <f>IF(AC22=AD22,"TAM",(CONCATENATE(AE22,"/",AF22)))</f>
        <v>79504/137163</v>
      </c>
      <c r="AH22" s="27" t="s">
        <v>50</v>
      </c>
      <c r="AI22" s="27" t="s">
        <v>50</v>
      </c>
      <c r="AJ22" s="80"/>
      <c r="AK22" s="55" t="s">
        <v>50</v>
      </c>
      <c r="AL22" s="2" t="s">
        <v>50</v>
      </c>
    </row>
    <row r="23" spans="1:37" ht="12.75" customHeight="1">
      <c r="A23" s="56"/>
      <c r="B23" s="28"/>
      <c r="C23" s="28"/>
      <c r="D23" s="29"/>
      <c r="E23" s="30" t="s">
        <v>50</v>
      </c>
      <c r="F23" s="30"/>
      <c r="G23" s="30"/>
      <c r="H23" s="30"/>
      <c r="I23" s="29"/>
      <c r="J23" s="29"/>
      <c r="K23" s="31"/>
      <c r="L23" s="31"/>
      <c r="M23" s="31"/>
      <c r="N23" s="31"/>
      <c r="O23" s="31"/>
      <c r="P23" s="30"/>
      <c r="Q23" s="30"/>
      <c r="R23" s="30"/>
      <c r="S23" s="30"/>
      <c r="T23" s="30"/>
      <c r="U23" s="30"/>
      <c r="V23" s="30"/>
      <c r="W23" s="30"/>
      <c r="X23" s="30"/>
      <c r="Y23" s="57"/>
      <c r="Z23" s="73"/>
      <c r="AA23" s="12"/>
      <c r="AB23" s="28"/>
      <c r="AC23" s="28"/>
      <c r="AD23" s="28"/>
      <c r="AE23" s="28"/>
      <c r="AF23" s="28"/>
      <c r="AG23" s="28"/>
      <c r="AH23" s="28"/>
      <c r="AI23" s="28"/>
      <c r="AJ23" s="81"/>
      <c r="AK23" s="57"/>
    </row>
    <row r="24" spans="1:38" ht="12.75" customHeight="1">
      <c r="A24" s="54">
        <v>86</v>
      </c>
      <c r="B24" s="17">
        <v>1196</v>
      </c>
      <c r="C24" s="17" t="s">
        <v>91</v>
      </c>
      <c r="D24" s="18">
        <v>989.11</v>
      </c>
      <c r="E24" s="19" t="s">
        <v>92</v>
      </c>
      <c r="F24" s="19" t="s">
        <v>93</v>
      </c>
      <c r="G24" s="20">
        <v>1</v>
      </c>
      <c r="H24" s="20">
        <v>3</v>
      </c>
      <c r="I24" s="18">
        <f>ROUND(G24,0)</f>
        <v>1</v>
      </c>
      <c r="J24" s="18">
        <f>ROUND(H24,0)</f>
        <v>3</v>
      </c>
      <c r="K24" s="21" t="str">
        <f>IF(I24=J24,"TAM",(CONCATENATE(G24,"/",H24)))</f>
        <v>1/3</v>
      </c>
      <c r="L24" s="22">
        <f>989.11*1/3</f>
        <v>329.7033333333333</v>
      </c>
      <c r="M24" s="23">
        <v>0</v>
      </c>
      <c r="N24" s="18" t="str">
        <f>IF(M24=0,"0",(O24*M24))</f>
        <v>0</v>
      </c>
      <c r="O24" s="18">
        <f>IF(W24=1,L24,((D24*G24/H24)-P24)/(1-V24)-S24-T24)</f>
        <v>329.7033333333333</v>
      </c>
      <c r="P24" s="18">
        <v>0</v>
      </c>
      <c r="Q24" s="18">
        <f>IF(U24=0,"0",O24*U24)</f>
        <v>97.18477871674223</v>
      </c>
      <c r="R24" s="24">
        <f>IF(U24=0,(((D24*G24/H24)-P24-S24-T24)/(1-V24)),(((D24*G24/H24)-P24-S24-T24)/(1-V24))-((D24*G24/H24)-P24-S24-T24)*U24/(1-V24))</f>
        <v>232.51855461659108</v>
      </c>
      <c r="S24" s="20">
        <v>0</v>
      </c>
      <c r="T24" s="20">
        <v>0</v>
      </c>
      <c r="U24" s="20">
        <v>0.294764319590568</v>
      </c>
      <c r="V24" s="20">
        <v>0</v>
      </c>
      <c r="W24" s="25">
        <f>IF(V24&gt;U24,1,V24)</f>
        <v>0</v>
      </c>
      <c r="X24" s="20">
        <v>1</v>
      </c>
      <c r="Y24" s="66">
        <v>0</v>
      </c>
      <c r="Z24" s="72" t="str">
        <f>IF(OR(W24=1,W24=0),"0",(Q24-N24))</f>
        <v>0</v>
      </c>
      <c r="AA24" s="67" t="s">
        <v>94</v>
      </c>
      <c r="AB24" s="18" t="s">
        <v>96</v>
      </c>
      <c r="AC24" s="18">
        <v>232.52</v>
      </c>
      <c r="AD24" s="18">
        <v>1000</v>
      </c>
      <c r="AE24" s="18">
        <f>ROUND(AC24*100,0)</f>
        <v>23252</v>
      </c>
      <c r="AF24" s="18">
        <f>ROUND(AD24*100,0)</f>
        <v>100000</v>
      </c>
      <c r="AG24" s="26" t="str">
        <f>IF(AC24=AD24,"TAM",(CONCATENATE(AE24,"/",AF24)))</f>
        <v>23252/100000</v>
      </c>
      <c r="AH24" s="27" t="s">
        <v>50</v>
      </c>
      <c r="AI24" s="27" t="s">
        <v>50</v>
      </c>
      <c r="AJ24" s="79" t="s">
        <v>95</v>
      </c>
      <c r="AK24" s="55" t="s">
        <v>50</v>
      </c>
      <c r="AL24" s="2" t="s">
        <v>50</v>
      </c>
    </row>
    <row r="25" spans="1:37" ht="12.75" customHeight="1">
      <c r="A25" s="56"/>
      <c r="B25" s="28"/>
      <c r="C25" s="28"/>
      <c r="D25" s="29"/>
      <c r="E25" s="30" t="s">
        <v>50</v>
      </c>
      <c r="F25" s="30"/>
      <c r="G25" s="30"/>
      <c r="H25" s="30"/>
      <c r="I25" s="29"/>
      <c r="J25" s="29"/>
      <c r="K25" s="31"/>
      <c r="L25" s="31"/>
      <c r="M25" s="31"/>
      <c r="N25" s="31"/>
      <c r="O25" s="31"/>
      <c r="P25" s="30"/>
      <c r="Q25" s="30"/>
      <c r="R25" s="30"/>
      <c r="S25" s="30"/>
      <c r="T25" s="30"/>
      <c r="U25" s="30"/>
      <c r="V25" s="30"/>
      <c r="W25" s="30"/>
      <c r="X25" s="30"/>
      <c r="Y25" s="57"/>
      <c r="Z25" s="73"/>
      <c r="AA25" s="12"/>
      <c r="AB25" s="28"/>
      <c r="AC25" s="28"/>
      <c r="AD25" s="28"/>
      <c r="AE25" s="28"/>
      <c r="AF25" s="28"/>
      <c r="AG25" s="28"/>
      <c r="AH25" s="28"/>
      <c r="AI25" s="28"/>
      <c r="AJ25" s="80"/>
      <c r="AK25" s="57"/>
    </row>
    <row r="26" spans="1:38" ht="12.75" customHeight="1">
      <c r="A26" s="54">
        <v>88</v>
      </c>
      <c r="B26" s="17">
        <v>1196</v>
      </c>
      <c r="C26" s="17" t="s">
        <v>97</v>
      </c>
      <c r="D26" s="18">
        <v>989.11</v>
      </c>
      <c r="E26" s="19" t="s">
        <v>98</v>
      </c>
      <c r="F26" s="19" t="s">
        <v>99</v>
      </c>
      <c r="G26" s="20">
        <v>1</v>
      </c>
      <c r="H26" s="20">
        <v>3</v>
      </c>
      <c r="I26" s="18">
        <f>ROUND(G26,0)</f>
        <v>1</v>
      </c>
      <c r="J26" s="18">
        <f>ROUND(H26,0)</f>
        <v>3</v>
      </c>
      <c r="K26" s="21" t="str">
        <f>IF(I26=J26,"TAM",(CONCATENATE(G26,"/",H26)))</f>
        <v>1/3</v>
      </c>
      <c r="L26" s="22">
        <f>989.11*1/3</f>
        <v>329.7033333333333</v>
      </c>
      <c r="M26" s="23">
        <v>0</v>
      </c>
      <c r="N26" s="18" t="str">
        <f>IF(M26=0,"0",(O26*M26))</f>
        <v>0</v>
      </c>
      <c r="O26" s="18">
        <f>IF(W26=1,L26,((D26*G26/H26)-P26)/(1-V26)-S26-T26)</f>
        <v>329.7033333333333</v>
      </c>
      <c r="P26" s="18">
        <v>0</v>
      </c>
      <c r="Q26" s="18">
        <f>IF(U26=0,"0",O26*U26)</f>
        <v>97.18477871674223</v>
      </c>
      <c r="R26" s="24">
        <f>IF(U26=0,(((D26*G26/H26)-P26-S26-T26)/(1-V26)),(((D26*G26/H26)-P26-S26-T26)/(1-V26))-((D26*G26/H26)-P26-S26-T26)*U26/(1-V26))</f>
        <v>232.51855461659108</v>
      </c>
      <c r="S26" s="20">
        <v>0</v>
      </c>
      <c r="T26" s="20">
        <v>0</v>
      </c>
      <c r="U26" s="20">
        <v>0.294764319590568</v>
      </c>
      <c r="V26" s="20">
        <v>0</v>
      </c>
      <c r="W26" s="25">
        <f>IF(V26&gt;U26,1,V26)</f>
        <v>0</v>
      </c>
      <c r="X26" s="20">
        <v>1</v>
      </c>
      <c r="Y26" s="66">
        <v>0</v>
      </c>
      <c r="Z26" s="72" t="str">
        <f>IF(OR(W26=1,W26=0),"0",(Q26-N26))</f>
        <v>0</v>
      </c>
      <c r="AA26" s="67" t="s">
        <v>100</v>
      </c>
      <c r="AB26" s="18" t="s">
        <v>101</v>
      </c>
      <c r="AC26" s="18">
        <v>232.52</v>
      </c>
      <c r="AD26" s="18">
        <v>1000</v>
      </c>
      <c r="AE26" s="18">
        <f>ROUND(AC26*100,0)</f>
        <v>23252</v>
      </c>
      <c r="AF26" s="18">
        <f>ROUND(AD26*100,0)</f>
        <v>100000</v>
      </c>
      <c r="AG26" s="26" t="str">
        <f>IF(AC26=AD26,"TAM",(CONCATENATE(AE26,"/",AF26)))</f>
        <v>23252/100000</v>
      </c>
      <c r="AH26" s="27" t="s">
        <v>50</v>
      </c>
      <c r="AI26" s="27" t="s">
        <v>50</v>
      </c>
      <c r="AJ26" s="80"/>
      <c r="AK26" s="55" t="s">
        <v>50</v>
      </c>
      <c r="AL26" s="2" t="s">
        <v>50</v>
      </c>
    </row>
    <row r="27" spans="1:37" ht="12.75" customHeight="1">
      <c r="A27" s="56"/>
      <c r="B27" s="28"/>
      <c r="C27" s="28"/>
      <c r="D27" s="29"/>
      <c r="E27" s="30" t="s">
        <v>50</v>
      </c>
      <c r="F27" s="30"/>
      <c r="G27" s="30"/>
      <c r="H27" s="30"/>
      <c r="I27" s="29"/>
      <c r="J27" s="29"/>
      <c r="K27" s="31"/>
      <c r="L27" s="31"/>
      <c r="M27" s="31"/>
      <c r="N27" s="31"/>
      <c r="O27" s="31"/>
      <c r="P27" s="30"/>
      <c r="Q27" s="30"/>
      <c r="R27" s="30"/>
      <c r="S27" s="30"/>
      <c r="T27" s="30"/>
      <c r="U27" s="30"/>
      <c r="V27" s="30"/>
      <c r="W27" s="30"/>
      <c r="X27" s="30"/>
      <c r="Y27" s="57"/>
      <c r="Z27" s="73"/>
      <c r="AA27" s="12"/>
      <c r="AB27" s="28"/>
      <c r="AC27" s="28"/>
      <c r="AD27" s="28"/>
      <c r="AE27" s="28"/>
      <c r="AF27" s="28"/>
      <c r="AG27" s="28"/>
      <c r="AH27" s="28"/>
      <c r="AI27" s="28"/>
      <c r="AJ27" s="80"/>
      <c r="AK27" s="57"/>
    </row>
    <row r="28" spans="1:38" ht="12.75" customHeight="1">
      <c r="A28" s="54">
        <v>87</v>
      </c>
      <c r="B28" s="17">
        <v>1196</v>
      </c>
      <c r="C28" s="17" t="s">
        <v>102</v>
      </c>
      <c r="D28" s="18">
        <v>989.11</v>
      </c>
      <c r="E28" s="19" t="s">
        <v>103</v>
      </c>
      <c r="F28" s="19" t="s">
        <v>104</v>
      </c>
      <c r="G28" s="20">
        <v>1</v>
      </c>
      <c r="H28" s="20">
        <v>3</v>
      </c>
      <c r="I28" s="18">
        <f>ROUND(G28,0)</f>
        <v>1</v>
      </c>
      <c r="J28" s="18">
        <f>ROUND(H28,0)</f>
        <v>3</v>
      </c>
      <c r="K28" s="21" t="str">
        <f>IF(I28=J28,"TAM",(CONCATENATE(G28,"/",H28)))</f>
        <v>1/3</v>
      </c>
      <c r="L28" s="22">
        <f>989.11*1/3</f>
        <v>329.7033333333333</v>
      </c>
      <c r="M28" s="23">
        <v>0</v>
      </c>
      <c r="N28" s="18" t="str">
        <f>IF(M28=0,"0",(O28*M28))</f>
        <v>0</v>
      </c>
      <c r="O28" s="18">
        <f>IF(W28=1,L28,((D28*G28/H28)-P28)/(1-V28)-S28-T28)</f>
        <v>329.7033333333333</v>
      </c>
      <c r="P28" s="18">
        <v>0</v>
      </c>
      <c r="Q28" s="18">
        <f>IF(U28=0,"0",O28*U28)</f>
        <v>97.18477871674223</v>
      </c>
      <c r="R28" s="24">
        <f>IF(U28=0,(((D28*G28/H28)-P28-S28-T28)/(1-V28)),(((D28*G28/H28)-P28-S28-T28)/(1-V28))-((D28*G28/H28)-P28-S28-T28)*U28/(1-V28))</f>
        <v>232.51855461659108</v>
      </c>
      <c r="S28" s="20">
        <v>0</v>
      </c>
      <c r="T28" s="20">
        <v>0</v>
      </c>
      <c r="U28" s="20">
        <v>0.294764319590568</v>
      </c>
      <c r="V28" s="20">
        <v>0</v>
      </c>
      <c r="W28" s="25">
        <f>IF(V28&gt;U28,1,V28)</f>
        <v>0</v>
      </c>
      <c r="X28" s="20">
        <v>1</v>
      </c>
      <c r="Y28" s="66">
        <v>0</v>
      </c>
      <c r="Z28" s="72" t="str">
        <f>IF(OR(W28=1,W28=0),"0",(Q28-N28))</f>
        <v>0</v>
      </c>
      <c r="AA28" s="67" t="s">
        <v>105</v>
      </c>
      <c r="AB28" s="18" t="s">
        <v>106</v>
      </c>
      <c r="AC28" s="18">
        <v>232.52</v>
      </c>
      <c r="AD28" s="18">
        <v>1000</v>
      </c>
      <c r="AE28" s="18">
        <f>ROUND(AC28*100,0)</f>
        <v>23252</v>
      </c>
      <c r="AF28" s="18">
        <f>ROUND(AD28*100,0)</f>
        <v>100000</v>
      </c>
      <c r="AG28" s="26" t="str">
        <f>IF(AC28=AD28,"TAM",(CONCATENATE(AE28,"/",AF28)))</f>
        <v>23252/100000</v>
      </c>
      <c r="AH28" s="27" t="s">
        <v>50</v>
      </c>
      <c r="AI28" s="27" t="s">
        <v>50</v>
      </c>
      <c r="AJ28" s="80"/>
      <c r="AK28" s="55" t="s">
        <v>50</v>
      </c>
      <c r="AL28" s="2" t="s">
        <v>50</v>
      </c>
    </row>
    <row r="29" spans="1:37" ht="12.75" customHeight="1">
      <c r="A29" s="56"/>
      <c r="B29" s="28"/>
      <c r="C29" s="28"/>
      <c r="D29" s="29"/>
      <c r="E29" s="30" t="s">
        <v>50</v>
      </c>
      <c r="F29" s="30"/>
      <c r="G29" s="30"/>
      <c r="H29" s="30"/>
      <c r="I29" s="29"/>
      <c r="J29" s="29"/>
      <c r="K29" s="31"/>
      <c r="L29" s="31"/>
      <c r="M29" s="31"/>
      <c r="N29" s="31"/>
      <c r="O29" s="31"/>
      <c r="P29" s="30"/>
      <c r="Q29" s="30"/>
      <c r="R29" s="30"/>
      <c r="S29" s="30"/>
      <c r="T29" s="30"/>
      <c r="U29" s="30"/>
      <c r="V29" s="30"/>
      <c r="W29" s="30"/>
      <c r="X29" s="30"/>
      <c r="Y29" s="57"/>
      <c r="Z29" s="73"/>
      <c r="AA29" s="12"/>
      <c r="AB29" s="28"/>
      <c r="AC29" s="28"/>
      <c r="AD29" s="28"/>
      <c r="AE29" s="28"/>
      <c r="AF29" s="28"/>
      <c r="AG29" s="28"/>
      <c r="AH29" s="28"/>
      <c r="AI29" s="28"/>
      <c r="AJ29" s="80"/>
      <c r="AK29" s="57"/>
    </row>
    <row r="30" spans="1:38" ht="12.75" customHeight="1">
      <c r="A30" s="54">
        <v>160</v>
      </c>
      <c r="B30" s="17">
        <v>1414</v>
      </c>
      <c r="C30" s="17" t="s">
        <v>107</v>
      </c>
      <c r="D30" s="18">
        <v>3724.9</v>
      </c>
      <c r="E30" s="19" t="s">
        <v>108</v>
      </c>
      <c r="F30" s="19" t="s">
        <v>109</v>
      </c>
      <c r="G30" s="20">
        <v>1</v>
      </c>
      <c r="H30" s="20">
        <v>1</v>
      </c>
      <c r="I30" s="18">
        <f>ROUND(G30,0)</f>
        <v>1</v>
      </c>
      <c r="J30" s="18">
        <f>ROUND(H30,0)</f>
        <v>1</v>
      </c>
      <c r="K30" s="21" t="str">
        <f>IF(I30=J30,"TAM",(CONCATENATE(G30,"/",H30)))</f>
        <v>TAM</v>
      </c>
      <c r="L30" s="22">
        <f>3724.9*1/1</f>
        <v>3724.9</v>
      </c>
      <c r="M30" s="23">
        <v>0</v>
      </c>
      <c r="N30" s="18" t="str">
        <f>IF(M30=0,"0",(O30*M30))</f>
        <v>0</v>
      </c>
      <c r="O30" s="18">
        <f>IF(W30=1,L30,((D30*G30/H30)-P30)/(1-V30)-S30-T30)</f>
        <v>3724.9</v>
      </c>
      <c r="P30" s="18">
        <v>0</v>
      </c>
      <c r="Q30" s="18">
        <f>IF(U30=0,"0",O30*U30)</f>
        <v>1097.9676140429067</v>
      </c>
      <c r="R30" s="24">
        <f>IF(U30=0,(((D30*G30/H30)-P30-S30-T30)/(1-V30)),(((D30*G30/H30)-P30-S30-T30)/(1-V30))-((D30*G30/H30)-P30-S30-T30)*U30/(1-V30))</f>
        <v>2626.932385957093</v>
      </c>
      <c r="S30" s="20">
        <v>0</v>
      </c>
      <c r="T30" s="20">
        <v>0</v>
      </c>
      <c r="U30" s="20">
        <v>0.294764319590568</v>
      </c>
      <c r="V30" s="20">
        <v>0</v>
      </c>
      <c r="W30" s="25">
        <f>IF(V30&gt;U30,1,V30)</f>
        <v>0</v>
      </c>
      <c r="X30" s="20">
        <v>1</v>
      </c>
      <c r="Y30" s="66">
        <v>0</v>
      </c>
      <c r="Z30" s="72" t="str">
        <f>IF(OR(W30=1,W30=0),"0",(Q30-N30))</f>
        <v>0</v>
      </c>
      <c r="AA30" s="67" t="s">
        <v>110</v>
      </c>
      <c r="AB30" s="18" t="s">
        <v>111</v>
      </c>
      <c r="AC30" s="18">
        <v>302.44</v>
      </c>
      <c r="AD30" s="18">
        <v>1000</v>
      </c>
      <c r="AE30" s="18">
        <f>ROUND(AC30*100,0)</f>
        <v>30244</v>
      </c>
      <c r="AF30" s="18">
        <f>ROUND(AD30*100,0)</f>
        <v>100000</v>
      </c>
      <c r="AG30" s="26" t="str">
        <f>IF(AC30=AD30,"TAM",(CONCATENATE(AE30,"/",AF30)))</f>
        <v>30244/100000</v>
      </c>
      <c r="AH30" s="27" t="s">
        <v>50</v>
      </c>
      <c r="AI30" s="27" t="s">
        <v>50</v>
      </c>
      <c r="AJ30" s="80"/>
      <c r="AK30" s="55" t="s">
        <v>50</v>
      </c>
      <c r="AL30" s="2" t="s">
        <v>50</v>
      </c>
    </row>
    <row r="31" spans="1:37" ht="12.75" customHeight="1">
      <c r="A31" s="56"/>
      <c r="B31" s="28"/>
      <c r="C31" s="28"/>
      <c r="D31" s="29"/>
      <c r="E31" s="30" t="s">
        <v>50</v>
      </c>
      <c r="F31" s="30"/>
      <c r="G31" s="30"/>
      <c r="H31" s="30"/>
      <c r="I31" s="29"/>
      <c r="J31" s="29"/>
      <c r="K31" s="31"/>
      <c r="L31" s="31"/>
      <c r="M31" s="31"/>
      <c r="N31" s="31"/>
      <c r="O31" s="31"/>
      <c r="P31" s="30"/>
      <c r="Q31" s="30"/>
      <c r="R31" s="30"/>
      <c r="S31" s="30"/>
      <c r="T31" s="30"/>
      <c r="U31" s="30"/>
      <c r="V31" s="30"/>
      <c r="W31" s="30"/>
      <c r="X31" s="30"/>
      <c r="Y31" s="57"/>
      <c r="Z31" s="73"/>
      <c r="AA31" s="12"/>
      <c r="AB31" s="28"/>
      <c r="AC31" s="28"/>
      <c r="AD31" s="28"/>
      <c r="AE31" s="28"/>
      <c r="AF31" s="28"/>
      <c r="AG31" s="28"/>
      <c r="AH31" s="28"/>
      <c r="AI31" s="28"/>
      <c r="AJ31" s="81"/>
      <c r="AK31" s="57"/>
    </row>
    <row r="32" spans="1:38" ht="18" customHeight="1">
      <c r="A32" s="54">
        <v>68</v>
      </c>
      <c r="B32" s="17">
        <v>1188</v>
      </c>
      <c r="C32" s="17" t="s">
        <v>112</v>
      </c>
      <c r="D32" s="18">
        <v>2735.83</v>
      </c>
      <c r="E32" s="19" t="s">
        <v>113</v>
      </c>
      <c r="F32" s="19" t="s">
        <v>114</v>
      </c>
      <c r="G32" s="20">
        <v>1</v>
      </c>
      <c r="H32" s="20">
        <v>1</v>
      </c>
      <c r="I32" s="18">
        <f>ROUND(G32,0)</f>
        <v>1</v>
      </c>
      <c r="J32" s="18">
        <f>ROUND(H32,0)</f>
        <v>1</v>
      </c>
      <c r="K32" s="21" t="str">
        <f>IF(I32=J32,"TAM",(CONCATENATE(G32,"/",H32)))</f>
        <v>TAM</v>
      </c>
      <c r="L32" s="22">
        <f>2735.83*1/1</f>
        <v>2735.83</v>
      </c>
      <c r="M32" s="23">
        <v>0</v>
      </c>
      <c r="N32" s="18" t="str">
        <f>IF(M32=0,"0",(O32*M32))</f>
        <v>0</v>
      </c>
      <c r="O32" s="18">
        <f>IF(W32=1,L32,((D32*G32/H32)-P32)/(1-V32)-S32-T32)</f>
        <v>2735.83</v>
      </c>
      <c r="P32" s="18">
        <v>0</v>
      </c>
      <c r="Q32" s="18">
        <f>IF(U32=0,"0",O32*U32)</f>
        <v>806.4250684654636</v>
      </c>
      <c r="R32" s="24">
        <f>IF(U32=0,(((D32*G32/H32)-P32-S32-T32)/(1-V32)),(((D32*G32/H32)-P32-S32-T32)/(1-V32))-((D32*G32/H32)-P32-S32-T32)*U32/(1-V32))</f>
        <v>1929.4049315345364</v>
      </c>
      <c r="S32" s="20">
        <v>0</v>
      </c>
      <c r="T32" s="20">
        <v>0</v>
      </c>
      <c r="U32" s="20">
        <v>0.294764319590568</v>
      </c>
      <c r="V32" s="20">
        <v>0</v>
      </c>
      <c r="W32" s="25">
        <f>IF(V32&gt;U32,1,V32)</f>
        <v>0</v>
      </c>
      <c r="X32" s="20">
        <v>1</v>
      </c>
      <c r="Y32" s="66">
        <v>0</v>
      </c>
      <c r="Z32" s="72" t="str">
        <f>IF(OR(W32=1,W32=0),"0",(Q32-N32))</f>
        <v>0</v>
      </c>
      <c r="AA32" s="67" t="s">
        <v>115</v>
      </c>
      <c r="AB32" s="18" t="s">
        <v>116</v>
      </c>
      <c r="AC32" s="18">
        <v>1929.4</v>
      </c>
      <c r="AD32" s="18">
        <v>1929.4</v>
      </c>
      <c r="AE32" s="18">
        <f>ROUND(AC32*100,0)</f>
        <v>192940</v>
      </c>
      <c r="AF32" s="18">
        <f>ROUND(AD32*100,0)</f>
        <v>192940</v>
      </c>
      <c r="AG32" s="26" t="str">
        <f>IF(AC32=AD32,"TAM",(CONCATENATE(AE32,"/",AF32)))</f>
        <v>TAM</v>
      </c>
      <c r="AH32" s="27" t="s">
        <v>50</v>
      </c>
      <c r="AI32" s="27" t="s">
        <v>50</v>
      </c>
      <c r="AJ32" s="75" t="s">
        <v>715</v>
      </c>
      <c r="AK32" s="55" t="s">
        <v>50</v>
      </c>
      <c r="AL32" s="2" t="s">
        <v>50</v>
      </c>
    </row>
    <row r="33" spans="1:37" ht="18" customHeight="1">
      <c r="A33" s="56"/>
      <c r="B33" s="28"/>
      <c r="C33" s="28"/>
      <c r="D33" s="29"/>
      <c r="E33" s="30" t="s">
        <v>50</v>
      </c>
      <c r="F33" s="30"/>
      <c r="G33" s="30"/>
      <c r="H33" s="30"/>
      <c r="I33" s="29"/>
      <c r="J33" s="29"/>
      <c r="K33" s="31"/>
      <c r="L33" s="31"/>
      <c r="M33" s="31"/>
      <c r="N33" s="31"/>
      <c r="O33" s="31"/>
      <c r="P33" s="30"/>
      <c r="Q33" s="30"/>
      <c r="R33" s="30"/>
      <c r="S33" s="30"/>
      <c r="T33" s="30"/>
      <c r="U33" s="30"/>
      <c r="V33" s="30"/>
      <c r="W33" s="30"/>
      <c r="X33" s="30"/>
      <c r="Y33" s="57"/>
      <c r="Z33" s="73"/>
      <c r="AA33" s="12"/>
      <c r="AB33" s="28"/>
      <c r="AC33" s="28"/>
      <c r="AD33" s="28"/>
      <c r="AE33" s="28"/>
      <c r="AF33" s="28"/>
      <c r="AG33" s="28"/>
      <c r="AH33" s="28"/>
      <c r="AI33" s="28"/>
      <c r="AJ33" s="82"/>
      <c r="AK33" s="57"/>
    </row>
    <row r="34" spans="1:38" ht="12.75" customHeight="1">
      <c r="A34" s="54">
        <v>75</v>
      </c>
      <c r="B34" s="17">
        <v>1190</v>
      </c>
      <c r="C34" s="17" t="s">
        <v>117</v>
      </c>
      <c r="D34" s="18">
        <v>618.99</v>
      </c>
      <c r="E34" s="19" t="s">
        <v>118</v>
      </c>
      <c r="F34" s="19" t="s">
        <v>119</v>
      </c>
      <c r="G34" s="20">
        <v>1</v>
      </c>
      <c r="H34" s="20">
        <v>4</v>
      </c>
      <c r="I34" s="18">
        <f>ROUND(G34,0)</f>
        <v>1</v>
      </c>
      <c r="J34" s="18">
        <f>ROUND(H34,0)</f>
        <v>4</v>
      </c>
      <c r="K34" s="21" t="str">
        <f>IF(I34=J34,"TAM",(CONCATENATE(G34,"/",H34)))</f>
        <v>1/4</v>
      </c>
      <c r="L34" s="22">
        <f>618.99*1/4</f>
        <v>154.7475</v>
      </c>
      <c r="M34" s="23">
        <v>0</v>
      </c>
      <c r="N34" s="18" t="str">
        <f>IF(M34=0,"0",(O34*M34))</f>
        <v>0</v>
      </c>
      <c r="O34" s="18">
        <f>IF(W34=1,L34,((D34*G34/H34)-P34)/(1-V34)-S34-T34)</f>
        <v>154.7475</v>
      </c>
      <c r="P34" s="18">
        <v>0</v>
      </c>
      <c r="Q34" s="18">
        <f>IF(U34=0,"0",O34*U34)</f>
        <v>45.61404154584142</v>
      </c>
      <c r="R34" s="24">
        <f>IF(U34=0,(((D34*G34/H34)-P34-S34-T34)/(1-V34)),(((D34*G34/H34)-P34-S34-T34)/(1-V34))-((D34*G34/H34)-P34-S34-T34)*U34/(1-V34))</f>
        <v>109.13345845415859</v>
      </c>
      <c r="S34" s="20">
        <v>0</v>
      </c>
      <c r="T34" s="20">
        <v>0</v>
      </c>
      <c r="U34" s="20">
        <v>0.294764319590568</v>
      </c>
      <c r="V34" s="20">
        <v>0</v>
      </c>
      <c r="W34" s="25">
        <f>IF(V34&gt;U34,1,V34)</f>
        <v>0</v>
      </c>
      <c r="X34" s="20">
        <v>1</v>
      </c>
      <c r="Y34" s="66">
        <v>0</v>
      </c>
      <c r="Z34" s="72" t="str">
        <f>IF(OR(W34=1,W34=0),"0",(Q34-N34))</f>
        <v>0</v>
      </c>
      <c r="AA34" s="67" t="s">
        <v>120</v>
      </c>
      <c r="AB34" s="18" t="s">
        <v>122</v>
      </c>
      <c r="AC34" s="18">
        <v>109.14</v>
      </c>
      <c r="AD34" s="18">
        <v>1517.35</v>
      </c>
      <c r="AE34" s="18">
        <f>ROUND(AC34*100,0)</f>
        <v>10914</v>
      </c>
      <c r="AF34" s="18">
        <f>ROUND(AD34*100,0)</f>
        <v>151735</v>
      </c>
      <c r="AG34" s="26" t="str">
        <f>IF(AC34=AD34,"TAM",(CONCATENATE(AE34,"/",AF34)))</f>
        <v>10914/151735</v>
      </c>
      <c r="AH34" s="27" t="s">
        <v>50</v>
      </c>
      <c r="AI34" s="27" t="s">
        <v>50</v>
      </c>
      <c r="AJ34" s="79" t="s">
        <v>121</v>
      </c>
      <c r="AK34" s="55" t="s">
        <v>50</v>
      </c>
      <c r="AL34" s="2" t="s">
        <v>50</v>
      </c>
    </row>
    <row r="35" spans="1:37" ht="12.75" customHeight="1">
      <c r="A35" s="56"/>
      <c r="B35" s="28"/>
      <c r="C35" s="28"/>
      <c r="D35" s="29"/>
      <c r="E35" s="30" t="s">
        <v>50</v>
      </c>
      <c r="F35" s="30"/>
      <c r="G35" s="30"/>
      <c r="H35" s="30"/>
      <c r="I35" s="29"/>
      <c r="J35" s="29"/>
      <c r="K35" s="31"/>
      <c r="L35" s="31"/>
      <c r="M35" s="31"/>
      <c r="N35" s="31"/>
      <c r="O35" s="31"/>
      <c r="P35" s="30"/>
      <c r="Q35" s="30"/>
      <c r="R35" s="30"/>
      <c r="S35" s="30"/>
      <c r="T35" s="30"/>
      <c r="U35" s="30"/>
      <c r="V35" s="30"/>
      <c r="W35" s="30"/>
      <c r="X35" s="30"/>
      <c r="Y35" s="57"/>
      <c r="Z35" s="73"/>
      <c r="AA35" s="12"/>
      <c r="AB35" s="28"/>
      <c r="AC35" s="28"/>
      <c r="AD35" s="28"/>
      <c r="AE35" s="28"/>
      <c r="AF35" s="28"/>
      <c r="AG35" s="28"/>
      <c r="AH35" s="28"/>
      <c r="AI35" s="28"/>
      <c r="AJ35" s="80"/>
      <c r="AK35" s="57"/>
    </row>
    <row r="36" spans="1:38" ht="12.75" customHeight="1">
      <c r="A36" s="54">
        <v>76</v>
      </c>
      <c r="B36" s="17">
        <v>1190</v>
      </c>
      <c r="C36" s="17" t="s">
        <v>123</v>
      </c>
      <c r="D36" s="18">
        <v>618.99</v>
      </c>
      <c r="E36" s="19" t="s">
        <v>124</v>
      </c>
      <c r="F36" s="19" t="s">
        <v>125</v>
      </c>
      <c r="G36" s="20">
        <v>3</v>
      </c>
      <c r="H36" s="20">
        <v>4</v>
      </c>
      <c r="I36" s="18">
        <f>ROUND(G36,0)</f>
        <v>3</v>
      </c>
      <c r="J36" s="18">
        <f>ROUND(H36,0)</f>
        <v>4</v>
      </c>
      <c r="K36" s="21" t="str">
        <f>IF(I36=J36,"TAM",(CONCATENATE(G36,"/",H36)))</f>
        <v>3/4</v>
      </c>
      <c r="L36" s="22">
        <f>618.99*3/4</f>
        <v>464.2425</v>
      </c>
      <c r="M36" s="23">
        <v>0</v>
      </c>
      <c r="N36" s="18" t="str">
        <f>IF(M36=0,"0",(O36*M36))</f>
        <v>0</v>
      </c>
      <c r="O36" s="18">
        <f>IF(W36=1,L36,((D36*G36/H36)-P36)/(1-V36)-S36-T36)</f>
        <v>464.2425</v>
      </c>
      <c r="P36" s="18">
        <v>0</v>
      </c>
      <c r="Q36" s="18">
        <f>IF(U36=0,"0",O36*U36)</f>
        <v>136.84212463752425</v>
      </c>
      <c r="R36" s="24">
        <f>IF(U36=0,(((D36*G36/H36)-P36-S36-T36)/(1-V36)),(((D36*G36/H36)-P36-S36-T36)/(1-V36))-((D36*G36/H36)-P36-S36-T36)*U36/(1-V36))</f>
        <v>327.40037536247576</v>
      </c>
      <c r="S36" s="20">
        <v>0</v>
      </c>
      <c r="T36" s="20">
        <v>0</v>
      </c>
      <c r="U36" s="20">
        <v>0.294764319590568</v>
      </c>
      <c r="V36" s="20">
        <v>0</v>
      </c>
      <c r="W36" s="25">
        <f>IF(V36&gt;U36,1,V36)</f>
        <v>0</v>
      </c>
      <c r="X36" s="20">
        <v>1</v>
      </c>
      <c r="Y36" s="66">
        <v>0</v>
      </c>
      <c r="Z36" s="72" t="str">
        <f>IF(OR(W36=1,W36=0),"0",(Q36-N36))</f>
        <v>0</v>
      </c>
      <c r="AA36" s="67" t="s">
        <v>126</v>
      </c>
      <c r="AB36" s="18" t="s">
        <v>127</v>
      </c>
      <c r="AC36" s="18">
        <v>327.39</v>
      </c>
      <c r="AD36" s="18">
        <v>1517.35</v>
      </c>
      <c r="AE36" s="18">
        <f>ROUND(AC36*100,0)</f>
        <v>32739</v>
      </c>
      <c r="AF36" s="18">
        <f>ROUND(AD36*100,0)</f>
        <v>151735</v>
      </c>
      <c r="AG36" s="26" t="str">
        <f>IF(AC36=AD36,"TAM",(CONCATENATE(AE36,"/",AF36)))</f>
        <v>32739/151735</v>
      </c>
      <c r="AH36" s="27" t="s">
        <v>50</v>
      </c>
      <c r="AI36" s="27" t="s">
        <v>50</v>
      </c>
      <c r="AJ36" s="80"/>
      <c r="AK36" s="55" t="s">
        <v>50</v>
      </c>
      <c r="AL36" s="2" t="s">
        <v>50</v>
      </c>
    </row>
    <row r="37" spans="1:37" ht="12.75" customHeight="1">
      <c r="A37" s="56"/>
      <c r="B37" s="28"/>
      <c r="C37" s="28"/>
      <c r="D37" s="29"/>
      <c r="E37" s="30" t="s">
        <v>50</v>
      </c>
      <c r="F37" s="30"/>
      <c r="G37" s="30"/>
      <c r="H37" s="30"/>
      <c r="I37" s="29"/>
      <c r="J37" s="29"/>
      <c r="K37" s="31"/>
      <c r="L37" s="31"/>
      <c r="M37" s="31"/>
      <c r="N37" s="31"/>
      <c r="O37" s="31"/>
      <c r="P37" s="30"/>
      <c r="Q37" s="30"/>
      <c r="R37" s="30"/>
      <c r="S37" s="30"/>
      <c r="T37" s="30"/>
      <c r="U37" s="30"/>
      <c r="V37" s="30"/>
      <c r="W37" s="30"/>
      <c r="X37" s="30"/>
      <c r="Y37" s="57"/>
      <c r="Z37" s="73"/>
      <c r="AA37" s="12"/>
      <c r="AB37" s="28"/>
      <c r="AC37" s="28"/>
      <c r="AD37" s="28"/>
      <c r="AE37" s="28"/>
      <c r="AF37" s="28"/>
      <c r="AG37" s="28"/>
      <c r="AH37" s="28"/>
      <c r="AI37" s="28"/>
      <c r="AJ37" s="80"/>
      <c r="AK37" s="57"/>
    </row>
    <row r="38" spans="1:38" ht="12.75" customHeight="1">
      <c r="A38" s="54">
        <v>80</v>
      </c>
      <c r="B38" s="17">
        <v>1193</v>
      </c>
      <c r="C38" s="17" t="s">
        <v>128</v>
      </c>
      <c r="D38" s="18">
        <v>328.11</v>
      </c>
      <c r="E38" s="19" t="s">
        <v>129</v>
      </c>
      <c r="F38" s="19" t="s">
        <v>130</v>
      </c>
      <c r="G38" s="20">
        <v>1</v>
      </c>
      <c r="H38" s="20">
        <v>4</v>
      </c>
      <c r="I38" s="18">
        <f>ROUND(G38,0)</f>
        <v>1</v>
      </c>
      <c r="J38" s="18">
        <f>ROUND(H38,0)</f>
        <v>4</v>
      </c>
      <c r="K38" s="21" t="str">
        <f>IF(I38=J38,"TAM",(CONCATENATE(G38,"/",H38)))</f>
        <v>1/4</v>
      </c>
      <c r="L38" s="22">
        <f>328.11*1/4</f>
        <v>82.0275</v>
      </c>
      <c r="M38" s="23">
        <v>0</v>
      </c>
      <c r="N38" s="18" t="str">
        <f>IF(M38=0,"0",(O38*M38))</f>
        <v>0</v>
      </c>
      <c r="O38" s="18">
        <f>IF(W38=1,L38,((D38*G38/H38)-P38)/(1-V38)-S38-T38)</f>
        <v>82.0275</v>
      </c>
      <c r="P38" s="18">
        <v>0</v>
      </c>
      <c r="Q38" s="18">
        <f>IF(U38=0,"0",O38*U38)</f>
        <v>24.178780225215316</v>
      </c>
      <c r="R38" s="24">
        <f>IF(U38=0,(((D38*G38/H38)-P38-S38-T38)/(1-V38)),(((D38*G38/H38)-P38-S38-T38)/(1-V38))-((D38*G38/H38)-P38-S38-T38)*U38/(1-V38))</f>
        <v>57.84871977478468</v>
      </c>
      <c r="S38" s="20">
        <v>0</v>
      </c>
      <c r="T38" s="20">
        <v>0</v>
      </c>
      <c r="U38" s="20">
        <v>0.294764319590568</v>
      </c>
      <c r="V38" s="20">
        <v>0</v>
      </c>
      <c r="W38" s="25">
        <f>IF(V38&gt;U38,1,V38)</f>
        <v>0</v>
      </c>
      <c r="X38" s="20">
        <v>1</v>
      </c>
      <c r="Y38" s="66">
        <v>0</v>
      </c>
      <c r="Z38" s="72" t="str">
        <f>IF(OR(W38=1,W38=0),"0",(Q38-N38))</f>
        <v>0</v>
      </c>
      <c r="AA38" s="67" t="s">
        <v>131</v>
      </c>
      <c r="AB38" s="18" t="s">
        <v>132</v>
      </c>
      <c r="AC38" s="18">
        <v>57.85</v>
      </c>
      <c r="AD38" s="18">
        <v>1517.35</v>
      </c>
      <c r="AE38" s="18">
        <f>ROUND(AC38*100,0)</f>
        <v>5785</v>
      </c>
      <c r="AF38" s="18">
        <f>ROUND(AD38*100,0)</f>
        <v>151735</v>
      </c>
      <c r="AG38" s="26" t="str">
        <f>IF(AC38=AD38,"TAM",(CONCATENATE(AE38,"/",AF38)))</f>
        <v>5785/151735</v>
      </c>
      <c r="AH38" s="27" t="s">
        <v>50</v>
      </c>
      <c r="AI38" s="27" t="s">
        <v>50</v>
      </c>
      <c r="AJ38" s="80"/>
      <c r="AK38" s="55" t="s">
        <v>50</v>
      </c>
      <c r="AL38" s="2" t="s">
        <v>50</v>
      </c>
    </row>
    <row r="39" spans="1:37" ht="12.75" customHeight="1">
      <c r="A39" s="56"/>
      <c r="B39" s="28"/>
      <c r="C39" s="28"/>
      <c r="D39" s="29"/>
      <c r="E39" s="30" t="s">
        <v>50</v>
      </c>
      <c r="F39" s="30"/>
      <c r="G39" s="30"/>
      <c r="H39" s="30"/>
      <c r="I39" s="29"/>
      <c r="J39" s="29"/>
      <c r="K39" s="31"/>
      <c r="L39" s="31"/>
      <c r="M39" s="31"/>
      <c r="N39" s="31"/>
      <c r="O39" s="31"/>
      <c r="P39" s="30"/>
      <c r="Q39" s="30"/>
      <c r="R39" s="30"/>
      <c r="S39" s="30"/>
      <c r="T39" s="30"/>
      <c r="U39" s="30"/>
      <c r="V39" s="30"/>
      <c r="W39" s="30"/>
      <c r="X39" s="30"/>
      <c r="Y39" s="57"/>
      <c r="Z39" s="73"/>
      <c r="AA39" s="12"/>
      <c r="AB39" s="28"/>
      <c r="AC39" s="28"/>
      <c r="AD39" s="28"/>
      <c r="AE39" s="28"/>
      <c r="AF39" s="28"/>
      <c r="AG39" s="28"/>
      <c r="AH39" s="28"/>
      <c r="AI39" s="28"/>
      <c r="AJ39" s="80"/>
      <c r="AK39" s="57"/>
    </row>
    <row r="40" spans="1:38" ht="12.75" customHeight="1">
      <c r="A40" s="54">
        <v>81</v>
      </c>
      <c r="B40" s="17">
        <v>1193</v>
      </c>
      <c r="C40" s="17" t="s">
        <v>133</v>
      </c>
      <c r="D40" s="18">
        <v>328.11</v>
      </c>
      <c r="E40" s="19" t="s">
        <v>134</v>
      </c>
      <c r="F40" s="19" t="s">
        <v>135</v>
      </c>
      <c r="G40" s="20">
        <v>3</v>
      </c>
      <c r="H40" s="20">
        <v>4</v>
      </c>
      <c r="I40" s="18">
        <f>ROUND(G40,0)</f>
        <v>3</v>
      </c>
      <c r="J40" s="18">
        <f>ROUND(H40,0)</f>
        <v>4</v>
      </c>
      <c r="K40" s="21" t="str">
        <f>IF(I40=J40,"TAM",(CONCATENATE(G40,"/",H40)))</f>
        <v>3/4</v>
      </c>
      <c r="L40" s="22">
        <f>328.11*3/4</f>
        <v>246.0825</v>
      </c>
      <c r="M40" s="23">
        <v>0</v>
      </c>
      <c r="N40" s="18" t="str">
        <f>IF(M40=0,"0",(O40*M40))</f>
        <v>0</v>
      </c>
      <c r="O40" s="18">
        <f>IF(W40=1,L40,((D40*G40/H40)-P40)/(1-V40)-S40-T40)</f>
        <v>246.0825</v>
      </c>
      <c r="P40" s="18">
        <v>0</v>
      </c>
      <c r="Q40" s="18">
        <f>IF(U40=0,"0",O40*U40)</f>
        <v>72.53634067564595</v>
      </c>
      <c r="R40" s="24">
        <f>IF(U40=0,(((D40*G40/H40)-P40-S40-T40)/(1-V40)),(((D40*G40/H40)-P40-S40-T40)/(1-V40))-((D40*G40/H40)-P40-S40-T40)*U40/(1-V40))</f>
        <v>173.54615932435405</v>
      </c>
      <c r="S40" s="20">
        <v>0</v>
      </c>
      <c r="T40" s="20">
        <v>0</v>
      </c>
      <c r="U40" s="20">
        <v>0.294764319590568</v>
      </c>
      <c r="V40" s="20">
        <v>0</v>
      </c>
      <c r="W40" s="25">
        <f>IF(V40&gt;U40,1,V40)</f>
        <v>0</v>
      </c>
      <c r="X40" s="20">
        <v>1</v>
      </c>
      <c r="Y40" s="66">
        <v>0</v>
      </c>
      <c r="Z40" s="72" t="str">
        <f>IF(OR(W40=1,W40=0),"0",(Q40-N40))</f>
        <v>0</v>
      </c>
      <c r="AA40" s="67" t="s">
        <v>136</v>
      </c>
      <c r="AB40" s="18" t="s">
        <v>137</v>
      </c>
      <c r="AC40" s="18">
        <v>173.54</v>
      </c>
      <c r="AD40" s="18">
        <v>1517.35</v>
      </c>
      <c r="AE40" s="18">
        <f>ROUND(AC40*100,0)</f>
        <v>17354</v>
      </c>
      <c r="AF40" s="18">
        <f>ROUND(AD40*100,0)</f>
        <v>151735</v>
      </c>
      <c r="AG40" s="26" t="str">
        <f>IF(AC40=AD40,"TAM",(CONCATENATE(AE40,"/",AF40)))</f>
        <v>17354/151735</v>
      </c>
      <c r="AH40" s="27" t="s">
        <v>50</v>
      </c>
      <c r="AI40" s="27" t="s">
        <v>50</v>
      </c>
      <c r="AJ40" s="80"/>
      <c r="AK40" s="55" t="s">
        <v>50</v>
      </c>
      <c r="AL40" s="2" t="s">
        <v>50</v>
      </c>
    </row>
    <row r="41" spans="1:37" ht="12.75" customHeight="1">
      <c r="A41" s="56"/>
      <c r="B41" s="28"/>
      <c r="C41" s="28"/>
      <c r="D41" s="29"/>
      <c r="E41" s="30" t="s">
        <v>50</v>
      </c>
      <c r="F41" s="30"/>
      <c r="G41" s="30"/>
      <c r="H41" s="30"/>
      <c r="I41" s="29"/>
      <c r="J41" s="29"/>
      <c r="K41" s="31"/>
      <c r="L41" s="31"/>
      <c r="M41" s="31"/>
      <c r="N41" s="31"/>
      <c r="O41" s="31"/>
      <c r="P41" s="30"/>
      <c r="Q41" s="30"/>
      <c r="R41" s="30"/>
      <c r="S41" s="30"/>
      <c r="T41" s="30"/>
      <c r="U41" s="30"/>
      <c r="V41" s="30"/>
      <c r="W41" s="30"/>
      <c r="X41" s="30"/>
      <c r="Y41" s="57"/>
      <c r="Z41" s="73"/>
      <c r="AA41" s="12"/>
      <c r="AB41" s="28"/>
      <c r="AC41" s="28"/>
      <c r="AD41" s="28"/>
      <c r="AE41" s="28"/>
      <c r="AF41" s="28"/>
      <c r="AG41" s="28"/>
      <c r="AH41" s="28"/>
      <c r="AI41" s="28"/>
      <c r="AJ41" s="80"/>
      <c r="AK41" s="57"/>
    </row>
    <row r="42" spans="1:38" ht="12.75" customHeight="1">
      <c r="A42" s="54">
        <v>82</v>
      </c>
      <c r="B42" s="17">
        <v>1194</v>
      </c>
      <c r="C42" s="17" t="s">
        <v>138</v>
      </c>
      <c r="D42" s="18">
        <v>842.84</v>
      </c>
      <c r="E42" s="19" t="s">
        <v>139</v>
      </c>
      <c r="F42" s="19" t="s">
        <v>140</v>
      </c>
      <c r="G42" s="20">
        <v>1</v>
      </c>
      <c r="H42" s="20">
        <v>4</v>
      </c>
      <c r="I42" s="18">
        <f>ROUND(G42,0)</f>
        <v>1</v>
      </c>
      <c r="J42" s="18">
        <f>ROUND(H42,0)</f>
        <v>4</v>
      </c>
      <c r="K42" s="21" t="str">
        <f>IF(I42=J42,"TAM",(CONCATENATE(G42,"/",H42)))</f>
        <v>1/4</v>
      </c>
      <c r="L42" s="22">
        <f>842.84*1/4</f>
        <v>210.71</v>
      </c>
      <c r="M42" s="23">
        <v>0</v>
      </c>
      <c r="N42" s="18" t="str">
        <f>IF(M42=0,"0",(O42*M42))</f>
        <v>0</v>
      </c>
      <c r="O42" s="18">
        <f>IF(W42=1,L42,((D42*G42/H42)-P42)/(1-V42)-S42-T42)</f>
        <v>210.71</v>
      </c>
      <c r="P42" s="18">
        <v>0</v>
      </c>
      <c r="Q42" s="18">
        <f>IF(U42=0,"0",O42*U42)</f>
        <v>62.10978978092858</v>
      </c>
      <c r="R42" s="24">
        <f>IF(U42=0,(((D42*G42/H42)-P42-S42-T42)/(1-V42)),(((D42*G42/H42)-P42-S42-T42)/(1-V42))-((D42*G42/H42)-P42-S42-T42)*U42/(1-V42))</f>
        <v>148.6002102190714</v>
      </c>
      <c r="S42" s="20">
        <v>0</v>
      </c>
      <c r="T42" s="20">
        <v>0</v>
      </c>
      <c r="U42" s="20">
        <v>0.294764319590568</v>
      </c>
      <c r="V42" s="20">
        <v>0</v>
      </c>
      <c r="W42" s="25">
        <f>IF(V42&gt;U42,1,V42)</f>
        <v>0</v>
      </c>
      <c r="X42" s="20">
        <v>1</v>
      </c>
      <c r="Y42" s="66">
        <v>0</v>
      </c>
      <c r="Z42" s="72" t="str">
        <f>IF(OR(W42=1,W42=0),"0",(Q42-N42))</f>
        <v>0</v>
      </c>
      <c r="AA42" s="67" t="s">
        <v>141</v>
      </c>
      <c r="AB42" s="18" t="s">
        <v>142</v>
      </c>
      <c r="AC42" s="18">
        <v>148.6</v>
      </c>
      <c r="AD42" s="18">
        <v>1517.35</v>
      </c>
      <c r="AE42" s="18">
        <f>ROUND(AC42*100,0)</f>
        <v>14860</v>
      </c>
      <c r="AF42" s="18">
        <f>ROUND(AD42*100,0)</f>
        <v>151735</v>
      </c>
      <c r="AG42" s="26" t="str">
        <f>IF(AC42=AD42,"TAM",(CONCATENATE(AE42,"/",AF42)))</f>
        <v>14860/151735</v>
      </c>
      <c r="AH42" s="27" t="s">
        <v>50</v>
      </c>
      <c r="AI42" s="27" t="s">
        <v>50</v>
      </c>
      <c r="AJ42" s="80"/>
      <c r="AK42" s="55" t="s">
        <v>50</v>
      </c>
      <c r="AL42" s="2" t="s">
        <v>50</v>
      </c>
    </row>
    <row r="43" spans="1:37" ht="12.75" customHeight="1">
      <c r="A43" s="56"/>
      <c r="B43" s="28"/>
      <c r="C43" s="28"/>
      <c r="D43" s="29"/>
      <c r="E43" s="30" t="s">
        <v>50</v>
      </c>
      <c r="F43" s="30"/>
      <c r="G43" s="30"/>
      <c r="H43" s="30"/>
      <c r="I43" s="29"/>
      <c r="J43" s="29"/>
      <c r="K43" s="31"/>
      <c r="L43" s="31"/>
      <c r="M43" s="31"/>
      <c r="N43" s="31"/>
      <c r="O43" s="31"/>
      <c r="P43" s="30"/>
      <c r="Q43" s="30"/>
      <c r="R43" s="30"/>
      <c r="S43" s="30"/>
      <c r="T43" s="30"/>
      <c r="U43" s="30"/>
      <c r="V43" s="30"/>
      <c r="W43" s="30"/>
      <c r="X43" s="30"/>
      <c r="Y43" s="57"/>
      <c r="Z43" s="73"/>
      <c r="AA43" s="12"/>
      <c r="AB43" s="28"/>
      <c r="AC43" s="28"/>
      <c r="AD43" s="28"/>
      <c r="AE43" s="28"/>
      <c r="AF43" s="28"/>
      <c r="AG43" s="28"/>
      <c r="AH43" s="28"/>
      <c r="AI43" s="28"/>
      <c r="AJ43" s="80"/>
      <c r="AK43" s="57"/>
    </row>
    <row r="44" spans="1:38" ht="12.75" customHeight="1">
      <c r="A44" s="54">
        <v>83</v>
      </c>
      <c r="B44" s="17">
        <v>1194</v>
      </c>
      <c r="C44" s="17" t="s">
        <v>143</v>
      </c>
      <c r="D44" s="18">
        <v>842.84</v>
      </c>
      <c r="E44" s="19" t="s">
        <v>144</v>
      </c>
      <c r="F44" s="19" t="s">
        <v>145</v>
      </c>
      <c r="G44" s="20">
        <v>3</v>
      </c>
      <c r="H44" s="20">
        <v>4</v>
      </c>
      <c r="I44" s="18">
        <f>ROUND(G44,0)</f>
        <v>3</v>
      </c>
      <c r="J44" s="18">
        <f>ROUND(H44,0)</f>
        <v>4</v>
      </c>
      <c r="K44" s="21" t="str">
        <f>IF(I44=J44,"TAM",(CONCATENATE(G44,"/",H44)))</f>
        <v>3/4</v>
      </c>
      <c r="L44" s="22">
        <f>842.84*3/4</f>
        <v>632.13</v>
      </c>
      <c r="M44" s="23">
        <v>0</v>
      </c>
      <c r="N44" s="18" t="str">
        <f>IF(M44=0,"0",(O44*M44))</f>
        <v>0</v>
      </c>
      <c r="O44" s="18">
        <f>IF(W44=1,L44,((D44*G44/H44)-P44)/(1-V44)-S44-T44)</f>
        <v>632.13</v>
      </c>
      <c r="P44" s="18">
        <v>0</v>
      </c>
      <c r="Q44" s="18">
        <f>IF(U44=0,"0",O44*U44)</f>
        <v>186.32936934278572</v>
      </c>
      <c r="R44" s="24">
        <f>IF(U44=0,(((D44*G44/H44)-P44-S44-T44)/(1-V44)),(((D44*G44/H44)-P44-S44-T44)/(1-V44))-((D44*G44/H44)-P44-S44-T44)*U44/(1-V44))</f>
        <v>445.80063065721424</v>
      </c>
      <c r="S44" s="20">
        <v>0</v>
      </c>
      <c r="T44" s="20">
        <v>0</v>
      </c>
      <c r="U44" s="20">
        <v>0.294764319590568</v>
      </c>
      <c r="V44" s="20">
        <v>0</v>
      </c>
      <c r="W44" s="25">
        <f>IF(V44&gt;U44,1,V44)</f>
        <v>0</v>
      </c>
      <c r="X44" s="20">
        <v>1</v>
      </c>
      <c r="Y44" s="66">
        <v>0</v>
      </c>
      <c r="Z44" s="72" t="str">
        <f>IF(OR(W44=1,W44=0),"0",(Q44-N44))</f>
        <v>0</v>
      </c>
      <c r="AA44" s="67" t="s">
        <v>146</v>
      </c>
      <c r="AB44" s="18" t="s">
        <v>147</v>
      </c>
      <c r="AC44" s="18">
        <v>445.8</v>
      </c>
      <c r="AD44" s="18">
        <v>1517.35</v>
      </c>
      <c r="AE44" s="18">
        <f>ROUND(AC44*100,0)</f>
        <v>44580</v>
      </c>
      <c r="AF44" s="18">
        <f>ROUND(AD44*100,0)</f>
        <v>151735</v>
      </c>
      <c r="AG44" s="26" t="str">
        <f>IF(AC44=AD44,"TAM",(CONCATENATE(AE44,"/",AF44)))</f>
        <v>44580/151735</v>
      </c>
      <c r="AH44" s="27" t="s">
        <v>50</v>
      </c>
      <c r="AI44" s="27" t="s">
        <v>50</v>
      </c>
      <c r="AJ44" s="80"/>
      <c r="AK44" s="55" t="s">
        <v>50</v>
      </c>
      <c r="AL44" s="2" t="s">
        <v>50</v>
      </c>
    </row>
    <row r="45" spans="1:37" ht="12.75" customHeight="1">
      <c r="A45" s="56"/>
      <c r="B45" s="28"/>
      <c r="C45" s="28"/>
      <c r="D45" s="29"/>
      <c r="E45" s="30" t="s">
        <v>50</v>
      </c>
      <c r="F45" s="30"/>
      <c r="G45" s="30"/>
      <c r="H45" s="30"/>
      <c r="I45" s="29"/>
      <c r="J45" s="29"/>
      <c r="K45" s="31"/>
      <c r="L45" s="31"/>
      <c r="M45" s="31"/>
      <c r="N45" s="31"/>
      <c r="O45" s="31"/>
      <c r="P45" s="30"/>
      <c r="Q45" s="30"/>
      <c r="R45" s="30"/>
      <c r="S45" s="30"/>
      <c r="T45" s="30"/>
      <c r="U45" s="30"/>
      <c r="V45" s="30"/>
      <c r="W45" s="30"/>
      <c r="X45" s="30"/>
      <c r="Y45" s="57"/>
      <c r="Z45" s="73"/>
      <c r="AA45" s="12"/>
      <c r="AB45" s="28"/>
      <c r="AC45" s="28"/>
      <c r="AD45" s="28"/>
      <c r="AE45" s="28"/>
      <c r="AF45" s="28"/>
      <c r="AG45" s="28"/>
      <c r="AH45" s="28"/>
      <c r="AI45" s="28"/>
      <c r="AJ45" s="80"/>
      <c r="AK45" s="57"/>
    </row>
    <row r="46" spans="1:38" ht="12.75" customHeight="1">
      <c r="A46" s="54">
        <v>84</v>
      </c>
      <c r="B46" s="17">
        <v>1195</v>
      </c>
      <c r="C46" s="17" t="s">
        <v>148</v>
      </c>
      <c r="D46" s="18">
        <v>361.63</v>
      </c>
      <c r="E46" s="19" t="s">
        <v>149</v>
      </c>
      <c r="F46" s="19" t="s">
        <v>150</v>
      </c>
      <c r="G46" s="20">
        <v>1</v>
      </c>
      <c r="H46" s="20">
        <v>4</v>
      </c>
      <c r="I46" s="18">
        <f>ROUND(G46,0)</f>
        <v>1</v>
      </c>
      <c r="J46" s="18">
        <f>ROUND(H46,0)</f>
        <v>4</v>
      </c>
      <c r="K46" s="21" t="str">
        <f>IF(I46=J46,"TAM",(CONCATENATE(G46,"/",H46)))</f>
        <v>1/4</v>
      </c>
      <c r="L46" s="22">
        <f>361.63*1/4</f>
        <v>90.4075</v>
      </c>
      <c r="M46" s="23">
        <v>0</v>
      </c>
      <c r="N46" s="18" t="str">
        <f>IF(M46=0,"0",(O46*M46))</f>
        <v>0</v>
      </c>
      <c r="O46" s="18">
        <f>IF(W46=1,L46,((D46*G46/H46)-P46)/(1-V46)-S46-T46)</f>
        <v>90.4075</v>
      </c>
      <c r="P46" s="18">
        <v>0</v>
      </c>
      <c r="Q46" s="18">
        <f>IF(U46=0,"0",O46*U46)</f>
        <v>26.648905223384276</v>
      </c>
      <c r="R46" s="24">
        <f>IF(U46=0,(((D46*G46/H46)-P46-S46-T46)/(1-V46)),(((D46*G46/H46)-P46-S46-T46)/(1-V46))-((D46*G46/H46)-P46-S46-T46)*U46/(1-V46))</f>
        <v>63.75859477661572</v>
      </c>
      <c r="S46" s="20">
        <v>0</v>
      </c>
      <c r="T46" s="20">
        <v>0</v>
      </c>
      <c r="U46" s="20">
        <v>0.294764319590568</v>
      </c>
      <c r="V46" s="20">
        <v>0</v>
      </c>
      <c r="W46" s="25">
        <f>IF(V46&gt;U46,1,V46)</f>
        <v>0</v>
      </c>
      <c r="X46" s="20">
        <v>1</v>
      </c>
      <c r="Y46" s="66">
        <v>0</v>
      </c>
      <c r="Z46" s="72" t="str">
        <f>IF(OR(W46=1,W46=0),"0",(Q46-N46))</f>
        <v>0</v>
      </c>
      <c r="AA46" s="67" t="s">
        <v>151</v>
      </c>
      <c r="AB46" s="18" t="s">
        <v>152</v>
      </c>
      <c r="AC46" s="18">
        <v>63.76</v>
      </c>
      <c r="AD46" s="18">
        <v>1517.35</v>
      </c>
      <c r="AE46" s="18">
        <f>ROUND(AC46*100,0)</f>
        <v>6376</v>
      </c>
      <c r="AF46" s="18">
        <f>ROUND(AD46*100,0)</f>
        <v>151735</v>
      </c>
      <c r="AG46" s="26" t="str">
        <f>IF(AC46=AD46,"TAM",(CONCATENATE(AE46,"/",AF46)))</f>
        <v>6376/151735</v>
      </c>
      <c r="AH46" s="27" t="s">
        <v>50</v>
      </c>
      <c r="AI46" s="27" t="s">
        <v>50</v>
      </c>
      <c r="AJ46" s="80"/>
      <c r="AK46" s="55" t="s">
        <v>50</v>
      </c>
      <c r="AL46" s="2" t="s">
        <v>50</v>
      </c>
    </row>
    <row r="47" spans="1:37" ht="12.75" customHeight="1">
      <c r="A47" s="56"/>
      <c r="B47" s="28"/>
      <c r="C47" s="28"/>
      <c r="D47" s="29"/>
      <c r="E47" s="30" t="s">
        <v>50</v>
      </c>
      <c r="F47" s="30"/>
      <c r="G47" s="30"/>
      <c r="H47" s="30"/>
      <c r="I47" s="29"/>
      <c r="J47" s="29"/>
      <c r="K47" s="31"/>
      <c r="L47" s="31"/>
      <c r="M47" s="31"/>
      <c r="N47" s="31"/>
      <c r="O47" s="31"/>
      <c r="P47" s="30"/>
      <c r="Q47" s="30"/>
      <c r="R47" s="30"/>
      <c r="S47" s="30"/>
      <c r="T47" s="30"/>
      <c r="U47" s="30"/>
      <c r="V47" s="30"/>
      <c r="W47" s="30"/>
      <c r="X47" s="30"/>
      <c r="Y47" s="57"/>
      <c r="Z47" s="73"/>
      <c r="AA47" s="12"/>
      <c r="AB47" s="28"/>
      <c r="AC47" s="28"/>
      <c r="AD47" s="28"/>
      <c r="AE47" s="28"/>
      <c r="AF47" s="28"/>
      <c r="AG47" s="28"/>
      <c r="AH47" s="28"/>
      <c r="AI47" s="28"/>
      <c r="AJ47" s="80"/>
      <c r="AK47" s="57"/>
    </row>
    <row r="48" spans="1:38" ht="12.75" customHeight="1">
      <c r="A48" s="54">
        <v>85</v>
      </c>
      <c r="B48" s="17">
        <v>1195</v>
      </c>
      <c r="C48" s="17" t="s">
        <v>153</v>
      </c>
      <c r="D48" s="18">
        <v>361.63</v>
      </c>
      <c r="E48" s="19" t="s">
        <v>154</v>
      </c>
      <c r="F48" s="19" t="s">
        <v>155</v>
      </c>
      <c r="G48" s="20">
        <v>3</v>
      </c>
      <c r="H48" s="20">
        <v>4</v>
      </c>
      <c r="I48" s="18">
        <f>ROUND(G48,0)</f>
        <v>3</v>
      </c>
      <c r="J48" s="18">
        <f>ROUND(H48,0)</f>
        <v>4</v>
      </c>
      <c r="K48" s="21" t="str">
        <f>IF(I48=J48,"TAM",(CONCATENATE(G48,"/",H48)))</f>
        <v>3/4</v>
      </c>
      <c r="L48" s="22">
        <f>361.63*3/4</f>
        <v>271.22249999999997</v>
      </c>
      <c r="M48" s="23">
        <v>0</v>
      </c>
      <c r="N48" s="18" t="str">
        <f>IF(M48=0,"0",(O48*M48))</f>
        <v>0</v>
      </c>
      <c r="O48" s="18">
        <f>IF(W48=1,L48,((D48*G48/H48)-P48)/(1-V48)-S48-T48)</f>
        <v>271.22249999999997</v>
      </c>
      <c r="P48" s="18">
        <v>0</v>
      </c>
      <c r="Q48" s="18">
        <f>IF(U48=0,"0",O48*U48)</f>
        <v>79.94671567015281</v>
      </c>
      <c r="R48" s="24">
        <f>IF(U48=0,(((D48*G48/H48)-P48-S48-T48)/(1-V48)),(((D48*G48/H48)-P48-S48-T48)/(1-V48))-((D48*G48/H48)-P48-S48-T48)*U48/(1-V48))</f>
        <v>191.27578432984717</v>
      </c>
      <c r="S48" s="20">
        <v>0</v>
      </c>
      <c r="T48" s="20">
        <v>0</v>
      </c>
      <c r="U48" s="20">
        <v>0.294764319590568</v>
      </c>
      <c r="V48" s="20">
        <v>0</v>
      </c>
      <c r="W48" s="25">
        <f>IF(V48&gt;U48,1,V48)</f>
        <v>0</v>
      </c>
      <c r="X48" s="20">
        <v>1</v>
      </c>
      <c r="Y48" s="66">
        <v>0</v>
      </c>
      <c r="Z48" s="72" t="str">
        <f>IF(OR(W48=1,W48=0),"0",(Q48-N48))</f>
        <v>0</v>
      </c>
      <c r="AA48" s="67" t="s">
        <v>156</v>
      </c>
      <c r="AB48" s="18" t="s">
        <v>157</v>
      </c>
      <c r="AC48" s="18">
        <v>191.27</v>
      </c>
      <c r="AD48" s="18">
        <v>1517.35</v>
      </c>
      <c r="AE48" s="18">
        <f>ROUND(AC48*100,0)</f>
        <v>19127</v>
      </c>
      <c r="AF48" s="18">
        <f>ROUND(AD48*100,0)</f>
        <v>151735</v>
      </c>
      <c r="AG48" s="26" t="str">
        <f>IF(AC48=AD48,"TAM",(CONCATENATE(AE48,"/",AF48)))</f>
        <v>19127/151735</v>
      </c>
      <c r="AH48" s="27" t="s">
        <v>50</v>
      </c>
      <c r="AI48" s="27" t="s">
        <v>50</v>
      </c>
      <c r="AJ48" s="80"/>
      <c r="AK48" s="55" t="s">
        <v>50</v>
      </c>
      <c r="AL48" s="2" t="s">
        <v>50</v>
      </c>
    </row>
    <row r="49" spans="1:37" ht="12.75" customHeight="1">
      <c r="A49" s="56"/>
      <c r="B49" s="28"/>
      <c r="C49" s="28"/>
      <c r="D49" s="29"/>
      <c r="E49" s="30" t="s">
        <v>50</v>
      </c>
      <c r="F49" s="30"/>
      <c r="G49" s="30"/>
      <c r="H49" s="30"/>
      <c r="I49" s="29"/>
      <c r="J49" s="29"/>
      <c r="K49" s="31"/>
      <c r="L49" s="31"/>
      <c r="M49" s="31"/>
      <c r="N49" s="31"/>
      <c r="O49" s="31"/>
      <c r="P49" s="30"/>
      <c r="Q49" s="30"/>
      <c r="R49" s="30"/>
      <c r="S49" s="30"/>
      <c r="T49" s="30"/>
      <c r="U49" s="30"/>
      <c r="V49" s="30"/>
      <c r="W49" s="30"/>
      <c r="X49" s="30"/>
      <c r="Y49" s="57"/>
      <c r="Z49" s="73"/>
      <c r="AA49" s="12"/>
      <c r="AB49" s="28"/>
      <c r="AC49" s="28"/>
      <c r="AD49" s="28"/>
      <c r="AE49" s="28"/>
      <c r="AF49" s="28"/>
      <c r="AG49" s="28"/>
      <c r="AH49" s="28"/>
      <c r="AI49" s="28"/>
      <c r="AJ49" s="81"/>
      <c r="AK49" s="57"/>
    </row>
    <row r="50" spans="1:38" ht="12.75" customHeight="1">
      <c r="A50" s="54">
        <v>30</v>
      </c>
      <c r="B50" s="17">
        <v>1149</v>
      </c>
      <c r="C50" s="17" t="s">
        <v>158</v>
      </c>
      <c r="D50" s="18">
        <v>8845.1</v>
      </c>
      <c r="E50" s="19" t="s">
        <v>159</v>
      </c>
      <c r="F50" s="19" t="s">
        <v>160</v>
      </c>
      <c r="G50" s="20">
        <v>1</v>
      </c>
      <c r="H50" s="20">
        <v>1</v>
      </c>
      <c r="I50" s="18">
        <f>ROUND(G50,0)</f>
        <v>1</v>
      </c>
      <c r="J50" s="18">
        <f>ROUND(H50,0)</f>
        <v>1</v>
      </c>
      <c r="K50" s="21" t="str">
        <f>IF(I50=J50,"TAM",(CONCATENATE(G50,"/",H50)))</f>
        <v>TAM</v>
      </c>
      <c r="L50" s="22">
        <f>8845.1*1/1</f>
        <v>8845.1</v>
      </c>
      <c r="M50" s="23">
        <v>0</v>
      </c>
      <c r="N50" s="18" t="str">
        <f>IF(M50=0,"0",(O50*M50))</f>
        <v>0</v>
      </c>
      <c r="O50" s="18">
        <f>IF(W50=1,L50,((D50*G50/H50)-P50)/(1-V50)-S50-T50)</f>
        <v>8845.1</v>
      </c>
      <c r="P50" s="18">
        <v>0</v>
      </c>
      <c r="Q50" s="18">
        <f>IF(U50=0,"0",O50*U50)</f>
        <v>2607.2198832105328</v>
      </c>
      <c r="R50" s="24">
        <f>IF(U50=0,(((D50*G50/H50)-P50-S50-T50)/(1-V50)),(((D50*G50/H50)-P50-S50-T50)/(1-V50))-((D50*G50/H50)-P50-S50-T50)*U50/(1-V50))</f>
        <v>6237.880116789467</v>
      </c>
      <c r="S50" s="20">
        <v>0</v>
      </c>
      <c r="T50" s="20">
        <v>0</v>
      </c>
      <c r="U50" s="20">
        <v>0.294764319590568</v>
      </c>
      <c r="V50" s="20">
        <v>0</v>
      </c>
      <c r="W50" s="25">
        <f>IF(V50&gt;U50,1,V50)</f>
        <v>0</v>
      </c>
      <c r="X50" s="20">
        <v>1</v>
      </c>
      <c r="Y50" s="66">
        <v>0</v>
      </c>
      <c r="Z50" s="72" t="str">
        <f>IF(OR(W50=1,W50=0),"0",(Q50-N50))</f>
        <v>0</v>
      </c>
      <c r="AA50" s="67" t="s">
        <v>161</v>
      </c>
      <c r="AB50" s="18" t="s">
        <v>162</v>
      </c>
      <c r="AC50" s="18">
        <v>251.5</v>
      </c>
      <c r="AD50" s="18">
        <v>1153.71</v>
      </c>
      <c r="AE50" s="18">
        <f>ROUND(AC50*100,0)</f>
        <v>25150</v>
      </c>
      <c r="AF50" s="18">
        <f>ROUND(AD50*100,0)</f>
        <v>115371</v>
      </c>
      <c r="AG50" s="26" t="str">
        <f>IF(AC50=AD50,"TAM",(CONCATENATE(AE50,"/",AF50)))</f>
        <v>25150/115371</v>
      </c>
      <c r="AH50" s="27" t="s">
        <v>50</v>
      </c>
      <c r="AI50" s="27" t="s">
        <v>50</v>
      </c>
      <c r="AJ50" s="75" t="s">
        <v>714</v>
      </c>
      <c r="AK50" s="55" t="s">
        <v>50</v>
      </c>
      <c r="AL50" s="2" t="s">
        <v>50</v>
      </c>
    </row>
    <row r="51" spans="1:37" ht="12.75" customHeight="1">
      <c r="A51" s="56"/>
      <c r="B51" s="28"/>
      <c r="C51" s="28"/>
      <c r="D51" s="29"/>
      <c r="E51" s="30" t="s">
        <v>50</v>
      </c>
      <c r="F51" s="30"/>
      <c r="G51" s="30"/>
      <c r="H51" s="30"/>
      <c r="I51" s="29"/>
      <c r="J51" s="29"/>
      <c r="K51" s="31"/>
      <c r="L51" s="31"/>
      <c r="M51" s="31"/>
      <c r="N51" s="31"/>
      <c r="O51" s="31"/>
      <c r="P51" s="30"/>
      <c r="Q51" s="30"/>
      <c r="R51" s="30"/>
      <c r="S51" s="30"/>
      <c r="T51" s="30"/>
      <c r="U51" s="30"/>
      <c r="V51" s="30"/>
      <c r="W51" s="30"/>
      <c r="X51" s="30"/>
      <c r="Y51" s="57"/>
      <c r="Z51" s="73"/>
      <c r="AA51" s="12"/>
      <c r="AB51" s="28"/>
      <c r="AC51" s="28"/>
      <c r="AD51" s="28"/>
      <c r="AE51" s="28"/>
      <c r="AF51" s="28"/>
      <c r="AG51" s="28"/>
      <c r="AH51" s="28"/>
      <c r="AI51" s="28"/>
      <c r="AJ51" s="76"/>
      <c r="AK51" s="57"/>
    </row>
    <row r="52" spans="1:38" ht="12.75" customHeight="1">
      <c r="A52" s="54">
        <v>31</v>
      </c>
      <c r="B52" s="17">
        <v>1175</v>
      </c>
      <c r="C52" s="17" t="s">
        <v>163</v>
      </c>
      <c r="D52" s="18">
        <v>32.16</v>
      </c>
      <c r="E52" s="19" t="s">
        <v>164</v>
      </c>
      <c r="F52" s="19" t="s">
        <v>165</v>
      </c>
      <c r="G52" s="20">
        <v>1</v>
      </c>
      <c r="H52" s="20">
        <v>1</v>
      </c>
      <c r="I52" s="18">
        <f>ROUND(G52,0)</f>
        <v>1</v>
      </c>
      <c r="J52" s="18">
        <f>ROUND(H52,0)</f>
        <v>1</v>
      </c>
      <c r="K52" s="21" t="str">
        <f>IF(I52=J52,"TAM",(CONCATENATE(G52,"/",H52)))</f>
        <v>TAM</v>
      </c>
      <c r="L52" s="22">
        <f>32.16*1/1</f>
        <v>32.16</v>
      </c>
      <c r="M52" s="23">
        <v>0</v>
      </c>
      <c r="N52" s="18" t="str">
        <f>IF(M52=0,"0",(O52*M52))</f>
        <v>0</v>
      </c>
      <c r="O52" s="18">
        <f>IF(W52=1,L52,((D52*G52/H52)-P52)/(1-V52)-S52-T52)</f>
        <v>32.16</v>
      </c>
      <c r="P52" s="18">
        <v>0</v>
      </c>
      <c r="Q52" s="18">
        <f>IF(U52=0,"0",O52*U52)</f>
        <v>9.479620518032664</v>
      </c>
      <c r="R52" s="24">
        <f>IF(U52=0,(((D52*G52/H52)-P52-S52-T52)/(1-V52)),(((D52*G52/H52)-P52-S52-T52)/(1-V52))-((D52*G52/H52)-P52-S52-T52)*U52/(1-V52))</f>
        <v>22.680379481967332</v>
      </c>
      <c r="S52" s="20">
        <v>0</v>
      </c>
      <c r="T52" s="20">
        <v>0</v>
      </c>
      <c r="U52" s="20">
        <v>0.294764319590568</v>
      </c>
      <c r="V52" s="20">
        <v>0</v>
      </c>
      <c r="W52" s="25">
        <f>IF(V52&gt;U52,1,V52)</f>
        <v>0</v>
      </c>
      <c r="X52" s="20">
        <v>1</v>
      </c>
      <c r="Y52" s="66">
        <v>0</v>
      </c>
      <c r="Z52" s="72" t="str">
        <f>IF(OR(W52=1,W52=0),"0",(Q52-N52))</f>
        <v>0</v>
      </c>
      <c r="AA52" s="67" t="s">
        <v>166</v>
      </c>
      <c r="AB52" s="18" t="s">
        <v>167</v>
      </c>
      <c r="AC52" s="18">
        <v>22.68</v>
      </c>
      <c r="AD52" s="18">
        <v>1153.71</v>
      </c>
      <c r="AE52" s="18">
        <f>ROUND(AC52*100,0)</f>
        <v>2268</v>
      </c>
      <c r="AF52" s="18">
        <f>ROUND(AD52*100,0)</f>
        <v>115371</v>
      </c>
      <c r="AG52" s="26" t="str">
        <f>IF(AC52=AD52,"TAM",(CONCATENATE(AE52,"/",AF52)))</f>
        <v>2268/115371</v>
      </c>
      <c r="AH52" s="27" t="s">
        <v>50</v>
      </c>
      <c r="AI52" s="27" t="s">
        <v>50</v>
      </c>
      <c r="AJ52" s="76"/>
      <c r="AK52" s="55" t="s">
        <v>50</v>
      </c>
      <c r="AL52" s="2" t="s">
        <v>50</v>
      </c>
    </row>
    <row r="53" spans="1:37" ht="12.75" customHeight="1">
      <c r="A53" s="56"/>
      <c r="B53" s="28"/>
      <c r="C53" s="28"/>
      <c r="D53" s="29"/>
      <c r="E53" s="30" t="s">
        <v>50</v>
      </c>
      <c r="F53" s="30"/>
      <c r="G53" s="30"/>
      <c r="H53" s="30"/>
      <c r="I53" s="29"/>
      <c r="J53" s="29"/>
      <c r="K53" s="31"/>
      <c r="L53" s="31"/>
      <c r="M53" s="31"/>
      <c r="N53" s="31"/>
      <c r="O53" s="31"/>
      <c r="P53" s="30"/>
      <c r="Q53" s="30"/>
      <c r="R53" s="30"/>
      <c r="S53" s="30"/>
      <c r="T53" s="30"/>
      <c r="U53" s="30"/>
      <c r="V53" s="30"/>
      <c r="W53" s="30"/>
      <c r="X53" s="30"/>
      <c r="Y53" s="57"/>
      <c r="Z53" s="73"/>
      <c r="AA53" s="12"/>
      <c r="AB53" s="28"/>
      <c r="AC53" s="28"/>
      <c r="AD53" s="28"/>
      <c r="AE53" s="28"/>
      <c r="AF53" s="28"/>
      <c r="AG53" s="28"/>
      <c r="AH53" s="28"/>
      <c r="AI53" s="28"/>
      <c r="AJ53" s="76"/>
      <c r="AK53" s="57"/>
    </row>
    <row r="54" spans="1:38" ht="12.75" customHeight="1">
      <c r="A54" s="54">
        <v>32</v>
      </c>
      <c r="B54" s="17">
        <v>1176</v>
      </c>
      <c r="C54" s="17" t="s">
        <v>168</v>
      </c>
      <c r="D54" s="18">
        <v>183.09</v>
      </c>
      <c r="E54" s="19" t="s">
        <v>169</v>
      </c>
      <c r="F54" s="19" t="s">
        <v>170</v>
      </c>
      <c r="G54" s="20">
        <v>1</v>
      </c>
      <c r="H54" s="20">
        <v>1</v>
      </c>
      <c r="I54" s="18">
        <f>ROUND(G54,0)</f>
        <v>1</v>
      </c>
      <c r="J54" s="18">
        <f>ROUND(H54,0)</f>
        <v>1</v>
      </c>
      <c r="K54" s="21" t="str">
        <f>IF(I54=J54,"TAM",(CONCATENATE(G54,"/",H54)))</f>
        <v>TAM</v>
      </c>
      <c r="L54" s="22">
        <f>183.09*1/1</f>
        <v>183.09</v>
      </c>
      <c r="M54" s="23">
        <v>0</v>
      </c>
      <c r="N54" s="18" t="str">
        <f>IF(M54=0,"0",(O54*M54))</f>
        <v>0</v>
      </c>
      <c r="O54" s="18">
        <f>IF(W54=1,L54,((D54*G54/H54)-P54)/(1-V54)-S54-T54)</f>
        <v>183.09</v>
      </c>
      <c r="P54" s="18">
        <v>0</v>
      </c>
      <c r="Q54" s="18">
        <f>IF(U54=0,"0",O54*U54)</f>
        <v>53.96839927383709</v>
      </c>
      <c r="R54" s="24">
        <f>IF(U54=0,(((D54*G54/H54)-P54-S54-T54)/(1-V54)),(((D54*G54/H54)-P54-S54-T54)/(1-V54))-((D54*G54/H54)-P54-S54-T54)*U54/(1-V54))</f>
        <v>129.1216007261629</v>
      </c>
      <c r="S54" s="20">
        <v>0</v>
      </c>
      <c r="T54" s="20">
        <v>0</v>
      </c>
      <c r="U54" s="20">
        <v>0.294764319590568</v>
      </c>
      <c r="V54" s="20">
        <v>0</v>
      </c>
      <c r="W54" s="25">
        <f>IF(V54&gt;U54,1,V54)</f>
        <v>0</v>
      </c>
      <c r="X54" s="20">
        <v>1</v>
      </c>
      <c r="Y54" s="66">
        <v>0</v>
      </c>
      <c r="Z54" s="72" t="str">
        <f>IF(OR(W54=1,W54=0),"0",(Q54-N54))</f>
        <v>0</v>
      </c>
      <c r="AA54" s="67" t="s">
        <v>171</v>
      </c>
      <c r="AB54" s="18" t="s">
        <v>172</v>
      </c>
      <c r="AC54" s="18">
        <v>129.12</v>
      </c>
      <c r="AD54" s="18">
        <v>1153.71</v>
      </c>
      <c r="AE54" s="18">
        <f>ROUND(AC54*100,0)</f>
        <v>12912</v>
      </c>
      <c r="AF54" s="18">
        <f>ROUND(AD54*100,0)</f>
        <v>115371</v>
      </c>
      <c r="AG54" s="26" t="str">
        <f>IF(AC54=AD54,"TAM",(CONCATENATE(AE54,"/",AF54)))</f>
        <v>12912/115371</v>
      </c>
      <c r="AH54" s="27" t="s">
        <v>50</v>
      </c>
      <c r="AI54" s="27" t="s">
        <v>50</v>
      </c>
      <c r="AJ54" s="76"/>
      <c r="AK54" s="55" t="s">
        <v>50</v>
      </c>
      <c r="AL54" s="2" t="s">
        <v>50</v>
      </c>
    </row>
    <row r="55" spans="1:37" ht="12.75" customHeight="1">
      <c r="A55" s="56"/>
      <c r="B55" s="28"/>
      <c r="C55" s="28"/>
      <c r="D55" s="29"/>
      <c r="E55" s="30" t="s">
        <v>50</v>
      </c>
      <c r="F55" s="30"/>
      <c r="G55" s="30"/>
      <c r="H55" s="30"/>
      <c r="I55" s="29"/>
      <c r="J55" s="29"/>
      <c r="K55" s="31"/>
      <c r="L55" s="31"/>
      <c r="M55" s="31"/>
      <c r="N55" s="31"/>
      <c r="O55" s="31"/>
      <c r="P55" s="30"/>
      <c r="Q55" s="30"/>
      <c r="R55" s="30"/>
      <c r="S55" s="30"/>
      <c r="T55" s="30"/>
      <c r="U55" s="30"/>
      <c r="V55" s="30"/>
      <c r="W55" s="30"/>
      <c r="X55" s="30"/>
      <c r="Y55" s="57"/>
      <c r="Z55" s="73"/>
      <c r="AA55" s="12"/>
      <c r="AB55" s="28"/>
      <c r="AC55" s="28"/>
      <c r="AD55" s="28"/>
      <c r="AE55" s="28"/>
      <c r="AF55" s="28"/>
      <c r="AG55" s="28"/>
      <c r="AH55" s="28"/>
      <c r="AI55" s="28"/>
      <c r="AJ55" s="76"/>
      <c r="AK55" s="57"/>
    </row>
    <row r="56" spans="1:38" ht="12.75" customHeight="1">
      <c r="A56" s="54">
        <v>77</v>
      </c>
      <c r="B56" s="17">
        <v>1191</v>
      </c>
      <c r="C56" s="17" t="s">
        <v>173</v>
      </c>
      <c r="D56" s="18">
        <v>924.89</v>
      </c>
      <c r="E56" s="19" t="s">
        <v>174</v>
      </c>
      <c r="F56" s="19" t="s">
        <v>175</v>
      </c>
      <c r="G56" s="20">
        <v>1</v>
      </c>
      <c r="H56" s="20">
        <v>2</v>
      </c>
      <c r="I56" s="18">
        <f>ROUND(G56,0)</f>
        <v>1</v>
      </c>
      <c r="J56" s="18">
        <f>ROUND(H56,0)</f>
        <v>2</v>
      </c>
      <c r="K56" s="21" t="str">
        <f>IF(I56=J56,"TAM",(CONCATENATE(G56,"/",H56)))</f>
        <v>1/2</v>
      </c>
      <c r="L56" s="22">
        <f>924.89*1/2</f>
        <v>462.445</v>
      </c>
      <c r="M56" s="23">
        <v>0</v>
      </c>
      <c r="N56" s="18" t="str">
        <f>IF(M56=0,"0",(O56*M56))</f>
        <v>0</v>
      </c>
      <c r="O56" s="18">
        <f>IF(W56=1,L56,((D56*G56/H56)-P56)/(1-V56)-S56-T56)</f>
        <v>462.445</v>
      </c>
      <c r="P56" s="18">
        <v>0</v>
      </c>
      <c r="Q56" s="18">
        <f>IF(U56=0,"0",O56*U56)</f>
        <v>136.3122857730602</v>
      </c>
      <c r="R56" s="24">
        <f>IF(U56=0,(((D56*G56/H56)-P56-S56-T56)/(1-V56)),(((D56*G56/H56)-P56-S56-T56)/(1-V56))-((D56*G56/H56)-P56-S56-T56)*U56/(1-V56))</f>
        <v>326.1327142269398</v>
      </c>
      <c r="S56" s="20">
        <v>0</v>
      </c>
      <c r="T56" s="20">
        <v>0</v>
      </c>
      <c r="U56" s="20">
        <v>0.294764319590568</v>
      </c>
      <c r="V56" s="20">
        <v>0</v>
      </c>
      <c r="W56" s="25">
        <f>IF(V56&gt;U56,1,V56)</f>
        <v>0</v>
      </c>
      <c r="X56" s="20">
        <v>1</v>
      </c>
      <c r="Y56" s="66">
        <v>0</v>
      </c>
      <c r="Z56" s="72" t="str">
        <f>IF(OR(W56=1,W56=0),"0",(Q56-N56))</f>
        <v>0</v>
      </c>
      <c r="AA56" s="67" t="s">
        <v>176</v>
      </c>
      <c r="AB56" s="18" t="s">
        <v>177</v>
      </c>
      <c r="AC56" s="18">
        <v>326.14</v>
      </c>
      <c r="AD56" s="18">
        <v>1153.71</v>
      </c>
      <c r="AE56" s="18">
        <f>ROUND(AC56*100,0)</f>
        <v>32614</v>
      </c>
      <c r="AF56" s="18">
        <f>ROUND(AD56*100,0)</f>
        <v>115371</v>
      </c>
      <c r="AG56" s="26" t="str">
        <f>IF(AC56=AD56,"TAM",(CONCATENATE(AE56,"/",AF56)))</f>
        <v>32614/115371</v>
      </c>
      <c r="AH56" s="27" t="s">
        <v>50</v>
      </c>
      <c r="AI56" s="27" t="s">
        <v>50</v>
      </c>
      <c r="AJ56" s="76"/>
      <c r="AK56" s="55" t="s">
        <v>50</v>
      </c>
      <c r="AL56" s="2" t="s">
        <v>50</v>
      </c>
    </row>
    <row r="57" spans="1:37" ht="12.75" customHeight="1">
      <c r="A57" s="56"/>
      <c r="B57" s="28"/>
      <c r="C57" s="28"/>
      <c r="D57" s="29"/>
      <c r="E57" s="30" t="s">
        <v>50</v>
      </c>
      <c r="F57" s="30"/>
      <c r="G57" s="30"/>
      <c r="H57" s="30"/>
      <c r="I57" s="29"/>
      <c r="J57" s="29"/>
      <c r="K57" s="31"/>
      <c r="L57" s="31"/>
      <c r="M57" s="31"/>
      <c r="N57" s="31"/>
      <c r="O57" s="31"/>
      <c r="P57" s="30"/>
      <c r="Q57" s="30"/>
      <c r="R57" s="30"/>
      <c r="S57" s="30"/>
      <c r="T57" s="30"/>
      <c r="U57" s="30"/>
      <c r="V57" s="30"/>
      <c r="W57" s="30"/>
      <c r="X57" s="30"/>
      <c r="Y57" s="57"/>
      <c r="Z57" s="73"/>
      <c r="AA57" s="12"/>
      <c r="AB57" s="28"/>
      <c r="AC57" s="28"/>
      <c r="AD57" s="28"/>
      <c r="AE57" s="28"/>
      <c r="AF57" s="28"/>
      <c r="AG57" s="28"/>
      <c r="AH57" s="28"/>
      <c r="AI57" s="28"/>
      <c r="AJ57" s="76"/>
      <c r="AK57" s="57"/>
    </row>
    <row r="58" spans="1:38" ht="12.75" customHeight="1">
      <c r="A58" s="54">
        <v>78</v>
      </c>
      <c r="B58" s="17">
        <v>1191</v>
      </c>
      <c r="C58" s="17" t="s">
        <v>178</v>
      </c>
      <c r="D58" s="18">
        <v>924.89</v>
      </c>
      <c r="E58" s="19" t="s">
        <v>179</v>
      </c>
      <c r="F58" s="19" t="s">
        <v>180</v>
      </c>
      <c r="G58" s="20">
        <v>1</v>
      </c>
      <c r="H58" s="20">
        <v>2</v>
      </c>
      <c r="I58" s="18">
        <f>ROUND(G58,0)</f>
        <v>1</v>
      </c>
      <c r="J58" s="18">
        <f>ROUND(H58,0)</f>
        <v>2</v>
      </c>
      <c r="K58" s="21" t="str">
        <f>IF(I58=J58,"TAM",(CONCATENATE(G58,"/",H58)))</f>
        <v>1/2</v>
      </c>
      <c r="L58" s="22">
        <f>924.89*1/2</f>
        <v>462.445</v>
      </c>
      <c r="M58" s="23">
        <v>0</v>
      </c>
      <c r="N58" s="18" t="str">
        <f>IF(M58=0,"0",(O58*M58))</f>
        <v>0</v>
      </c>
      <c r="O58" s="18">
        <f>IF(W58=1,L58,((D58*G58/H58)-P58)/(1-V58)-S58-T58)</f>
        <v>462.445</v>
      </c>
      <c r="P58" s="18">
        <v>0</v>
      </c>
      <c r="Q58" s="18">
        <f>IF(U58=0,"0",O58*U58)</f>
        <v>136.3122857730602</v>
      </c>
      <c r="R58" s="24">
        <f>IF(U58=0,(((D58*G58/H58)-P58-S58-T58)/(1-V58)),(((D58*G58/H58)-P58-S58-T58)/(1-V58))-((D58*G58/H58)-P58-S58-T58)*U58/(1-V58))</f>
        <v>326.1327142269398</v>
      </c>
      <c r="S58" s="20">
        <v>0</v>
      </c>
      <c r="T58" s="20">
        <v>0</v>
      </c>
      <c r="U58" s="20">
        <v>0.294764319590568</v>
      </c>
      <c r="V58" s="20">
        <v>0</v>
      </c>
      <c r="W58" s="25">
        <f>IF(V58&gt;U58,1,V58)</f>
        <v>0</v>
      </c>
      <c r="X58" s="20">
        <v>1</v>
      </c>
      <c r="Y58" s="66">
        <v>0</v>
      </c>
      <c r="Z58" s="72" t="str">
        <f>IF(OR(W58=1,W58=0),"0",(Q58-N58))</f>
        <v>0</v>
      </c>
      <c r="AA58" s="67" t="s">
        <v>181</v>
      </c>
      <c r="AB58" s="18" t="s">
        <v>182</v>
      </c>
      <c r="AC58" s="18">
        <v>326.13</v>
      </c>
      <c r="AD58" s="18">
        <v>1153.71</v>
      </c>
      <c r="AE58" s="18">
        <f>ROUND(AC58*100,0)</f>
        <v>32613</v>
      </c>
      <c r="AF58" s="18">
        <f>ROUND(AD58*100,0)</f>
        <v>115371</v>
      </c>
      <c r="AG58" s="26" t="str">
        <f>IF(AC58=AD58,"TAM",(CONCATENATE(AE58,"/",AF58)))</f>
        <v>32613/115371</v>
      </c>
      <c r="AH58" s="27" t="s">
        <v>50</v>
      </c>
      <c r="AI58" s="27" t="s">
        <v>50</v>
      </c>
      <c r="AJ58" s="76"/>
      <c r="AK58" s="55" t="s">
        <v>50</v>
      </c>
      <c r="AL58" s="2" t="s">
        <v>50</v>
      </c>
    </row>
    <row r="59" spans="1:37" ht="12.75" customHeight="1">
      <c r="A59" s="56"/>
      <c r="B59" s="28"/>
      <c r="C59" s="28"/>
      <c r="D59" s="29"/>
      <c r="E59" s="30" t="s">
        <v>50</v>
      </c>
      <c r="F59" s="30"/>
      <c r="G59" s="30"/>
      <c r="H59" s="30"/>
      <c r="I59" s="29"/>
      <c r="J59" s="29"/>
      <c r="K59" s="31"/>
      <c r="L59" s="31"/>
      <c r="M59" s="31"/>
      <c r="N59" s="31"/>
      <c r="O59" s="31"/>
      <c r="P59" s="30"/>
      <c r="Q59" s="30"/>
      <c r="R59" s="30"/>
      <c r="S59" s="30"/>
      <c r="T59" s="30"/>
      <c r="U59" s="30"/>
      <c r="V59" s="30"/>
      <c r="W59" s="30"/>
      <c r="X59" s="30"/>
      <c r="Y59" s="57"/>
      <c r="Z59" s="73"/>
      <c r="AA59" s="12"/>
      <c r="AB59" s="28"/>
      <c r="AC59" s="28"/>
      <c r="AD59" s="28"/>
      <c r="AE59" s="28"/>
      <c r="AF59" s="28"/>
      <c r="AG59" s="28"/>
      <c r="AH59" s="28"/>
      <c r="AI59" s="28"/>
      <c r="AJ59" s="76"/>
      <c r="AK59" s="57"/>
    </row>
    <row r="60" spans="1:38" ht="12.75" customHeight="1">
      <c r="A60" s="54">
        <v>160</v>
      </c>
      <c r="B60" s="17">
        <v>1414</v>
      </c>
      <c r="C60" s="17" t="s">
        <v>183</v>
      </c>
      <c r="D60" s="18">
        <v>3724.9</v>
      </c>
      <c r="E60" s="19" t="s">
        <v>184</v>
      </c>
      <c r="F60" s="19" t="s">
        <v>185</v>
      </c>
      <c r="G60" s="20">
        <v>1</v>
      </c>
      <c r="H60" s="20">
        <v>1</v>
      </c>
      <c r="I60" s="18">
        <f>ROUND(G60,0)</f>
        <v>1</v>
      </c>
      <c r="J60" s="18">
        <f>ROUND(H60,0)</f>
        <v>1</v>
      </c>
      <c r="K60" s="21" t="str">
        <f>IF(I60=J60,"TAM",(CONCATENATE(G60,"/",H60)))</f>
        <v>TAM</v>
      </c>
      <c r="L60" s="22">
        <f>3724.9*1/1</f>
        <v>3724.9</v>
      </c>
      <c r="M60" s="23">
        <v>0</v>
      </c>
      <c r="N60" s="18" t="str">
        <f>IF(M60=0,"0",(O60*M60))</f>
        <v>0</v>
      </c>
      <c r="O60" s="18">
        <f>IF(W60=1,L60,((D60*G60/H60)-P60)/(1-V60)-S60-T60)</f>
        <v>3724.9</v>
      </c>
      <c r="P60" s="18">
        <v>0</v>
      </c>
      <c r="Q60" s="18">
        <f>IF(U60=0,"0",O60*U60)</f>
        <v>1097.9676140429067</v>
      </c>
      <c r="R60" s="24">
        <f>IF(U60=0,(((D60*G60/H60)-P60-S60-T60)/(1-V60)),(((D60*G60/H60)-P60-S60-T60)/(1-V60))-((D60*G60/H60)-P60-S60-T60)*U60/(1-V60))</f>
        <v>2626.932385957093</v>
      </c>
      <c r="S60" s="20">
        <v>0</v>
      </c>
      <c r="T60" s="20">
        <v>0</v>
      </c>
      <c r="U60" s="20">
        <v>0.294764319590568</v>
      </c>
      <c r="V60" s="20">
        <v>0</v>
      </c>
      <c r="W60" s="25">
        <f>IF(V60&gt;U60,1,V60)</f>
        <v>0</v>
      </c>
      <c r="X60" s="20">
        <v>1</v>
      </c>
      <c r="Y60" s="66">
        <v>0</v>
      </c>
      <c r="Z60" s="72" t="str">
        <f>IF(OR(W60=1,W60=0),"0",(Q60-N60))</f>
        <v>0</v>
      </c>
      <c r="AA60" s="67" t="s">
        <v>186</v>
      </c>
      <c r="AB60" s="18" t="s">
        <v>187</v>
      </c>
      <c r="AC60" s="18">
        <v>98.14</v>
      </c>
      <c r="AD60" s="18">
        <v>1153.71</v>
      </c>
      <c r="AE60" s="18">
        <f>ROUND(AC60*100,0)</f>
        <v>9814</v>
      </c>
      <c r="AF60" s="18">
        <f>ROUND(AD60*100,0)</f>
        <v>115371</v>
      </c>
      <c r="AG60" s="26" t="str">
        <f>IF(AC60=AD60,"TAM",(CONCATENATE(AE60,"/",AF60)))</f>
        <v>9814/115371</v>
      </c>
      <c r="AH60" s="27" t="s">
        <v>50</v>
      </c>
      <c r="AI60" s="27" t="s">
        <v>50</v>
      </c>
      <c r="AJ60" s="76"/>
      <c r="AK60" s="55" t="s">
        <v>50</v>
      </c>
      <c r="AL60" s="2" t="s">
        <v>50</v>
      </c>
    </row>
    <row r="61" spans="1:37" ht="12.75" customHeight="1">
      <c r="A61" s="56"/>
      <c r="B61" s="28"/>
      <c r="C61" s="28"/>
      <c r="D61" s="29"/>
      <c r="E61" s="30" t="s">
        <v>50</v>
      </c>
      <c r="F61" s="30"/>
      <c r="G61" s="30"/>
      <c r="H61" s="30"/>
      <c r="I61" s="29"/>
      <c r="J61" s="29"/>
      <c r="K61" s="31"/>
      <c r="L61" s="31"/>
      <c r="M61" s="31"/>
      <c r="N61" s="31"/>
      <c r="O61" s="31"/>
      <c r="P61" s="30"/>
      <c r="Q61" s="30"/>
      <c r="R61" s="30"/>
      <c r="S61" s="30"/>
      <c r="T61" s="30"/>
      <c r="U61" s="30"/>
      <c r="V61" s="30"/>
      <c r="W61" s="30"/>
      <c r="X61" s="30"/>
      <c r="Y61" s="57"/>
      <c r="Z61" s="73"/>
      <c r="AA61" s="12"/>
      <c r="AB61" s="28"/>
      <c r="AC61" s="28"/>
      <c r="AD61" s="28"/>
      <c r="AE61" s="28"/>
      <c r="AF61" s="28"/>
      <c r="AG61" s="28"/>
      <c r="AH61" s="28"/>
      <c r="AI61" s="28"/>
      <c r="AJ61" s="82"/>
      <c r="AK61" s="57"/>
    </row>
    <row r="62" spans="1:38" ht="12.75" customHeight="1">
      <c r="A62" s="54">
        <v>79</v>
      </c>
      <c r="B62" s="17">
        <v>1192</v>
      </c>
      <c r="C62" s="17" t="s">
        <v>188</v>
      </c>
      <c r="D62" s="18">
        <v>1198.43</v>
      </c>
      <c r="E62" s="19" t="s">
        <v>189</v>
      </c>
      <c r="F62" s="19" t="s">
        <v>190</v>
      </c>
      <c r="G62" s="20">
        <v>1</v>
      </c>
      <c r="H62" s="20">
        <v>1</v>
      </c>
      <c r="I62" s="18">
        <f>ROUND(G62,0)</f>
        <v>1</v>
      </c>
      <c r="J62" s="18">
        <f>ROUND(H62,0)</f>
        <v>1</v>
      </c>
      <c r="K62" s="21" t="str">
        <f>IF(I62=J62,"TAM",(CONCATENATE(G62,"/",H62)))</f>
        <v>TAM</v>
      </c>
      <c r="L62" s="22">
        <f>1198.43*1/1</f>
        <v>1198.43</v>
      </c>
      <c r="M62" s="23">
        <v>0</v>
      </c>
      <c r="N62" s="18" t="str">
        <f>IF(M62=0,"0",(O62*M62))</f>
        <v>0</v>
      </c>
      <c r="O62" s="18">
        <f>IF(W62=1,L62,((D62*G62/H62)-P62)/(1-V62)-S62-T62)</f>
        <v>1198.43</v>
      </c>
      <c r="P62" s="18">
        <v>0</v>
      </c>
      <c r="Q62" s="18">
        <f>IF(U62=0,"0",O62*U62)</f>
        <v>353.2544035269244</v>
      </c>
      <c r="R62" s="24">
        <f>IF(U62=0,(((D62*G62/H62)-P62-S62-T62)/(1-V62)),(((D62*G62/H62)-P62-S62-T62)/(1-V62))-((D62*G62/H62)-P62-S62-T62)*U62/(1-V62))</f>
        <v>845.1755964730756</v>
      </c>
      <c r="S62" s="20">
        <v>0</v>
      </c>
      <c r="T62" s="20">
        <v>0</v>
      </c>
      <c r="U62" s="20">
        <v>0.294764319590568</v>
      </c>
      <c r="V62" s="20">
        <v>0</v>
      </c>
      <c r="W62" s="25">
        <f>IF(V62&gt;U62,1,V62)</f>
        <v>0</v>
      </c>
      <c r="X62" s="20">
        <v>1</v>
      </c>
      <c r="Y62" s="66">
        <v>0</v>
      </c>
      <c r="Z62" s="72" t="str">
        <f>IF(OR(W62=1,W62=0),"0",(Q62-N62))</f>
        <v>0</v>
      </c>
      <c r="AA62" s="67" t="s">
        <v>191</v>
      </c>
      <c r="AB62" s="18" t="s">
        <v>192</v>
      </c>
      <c r="AC62" s="18">
        <v>845.18</v>
      </c>
      <c r="AD62" s="18">
        <v>1000.15</v>
      </c>
      <c r="AE62" s="18">
        <f>ROUND(AC62*100,0)</f>
        <v>84518</v>
      </c>
      <c r="AF62" s="18">
        <f>ROUND(AD62*100,0)</f>
        <v>100015</v>
      </c>
      <c r="AG62" s="26" t="str">
        <f>IF(AC62=AD62,"TAM",(CONCATENATE(AE62,"/",AF62)))</f>
        <v>84518/100015</v>
      </c>
      <c r="AH62" s="27" t="s">
        <v>50</v>
      </c>
      <c r="AI62" s="27" t="s">
        <v>50</v>
      </c>
      <c r="AJ62" s="75" t="s">
        <v>714</v>
      </c>
      <c r="AK62" s="55" t="s">
        <v>50</v>
      </c>
      <c r="AL62" s="2" t="s">
        <v>50</v>
      </c>
    </row>
    <row r="63" spans="1:37" ht="12.75" customHeight="1">
      <c r="A63" s="56"/>
      <c r="B63" s="28"/>
      <c r="C63" s="28"/>
      <c r="D63" s="29"/>
      <c r="E63" s="30" t="s">
        <v>50</v>
      </c>
      <c r="F63" s="30"/>
      <c r="G63" s="30"/>
      <c r="H63" s="30"/>
      <c r="I63" s="29"/>
      <c r="J63" s="29"/>
      <c r="K63" s="31"/>
      <c r="L63" s="31"/>
      <c r="M63" s="31"/>
      <c r="N63" s="31"/>
      <c r="O63" s="31"/>
      <c r="P63" s="30"/>
      <c r="Q63" s="30"/>
      <c r="R63" s="30"/>
      <c r="S63" s="30"/>
      <c r="T63" s="30"/>
      <c r="U63" s="30"/>
      <c r="V63" s="30"/>
      <c r="W63" s="30"/>
      <c r="X63" s="30"/>
      <c r="Y63" s="57"/>
      <c r="Z63" s="73"/>
      <c r="AA63" s="12"/>
      <c r="AB63" s="28"/>
      <c r="AC63" s="28"/>
      <c r="AD63" s="28"/>
      <c r="AE63" s="28"/>
      <c r="AF63" s="28"/>
      <c r="AG63" s="28"/>
      <c r="AH63" s="28"/>
      <c r="AI63" s="28"/>
      <c r="AJ63" s="76"/>
      <c r="AK63" s="57"/>
    </row>
    <row r="64" spans="1:38" ht="12.75" customHeight="1">
      <c r="A64" s="54">
        <v>160</v>
      </c>
      <c r="B64" s="17">
        <v>1414</v>
      </c>
      <c r="C64" s="17" t="s">
        <v>193</v>
      </c>
      <c r="D64" s="18">
        <v>3724.9</v>
      </c>
      <c r="E64" s="19" t="s">
        <v>194</v>
      </c>
      <c r="F64" s="19" t="s">
        <v>195</v>
      </c>
      <c r="G64" s="20">
        <v>1</v>
      </c>
      <c r="H64" s="20">
        <v>1</v>
      </c>
      <c r="I64" s="18">
        <f>ROUND(G64,0)</f>
        <v>1</v>
      </c>
      <c r="J64" s="18">
        <f>ROUND(H64,0)</f>
        <v>1</v>
      </c>
      <c r="K64" s="21" t="str">
        <f>IF(I64=J64,"TAM",(CONCATENATE(G64,"/",H64)))</f>
        <v>TAM</v>
      </c>
      <c r="L64" s="22">
        <f>3724.9*1/1</f>
        <v>3724.9</v>
      </c>
      <c r="M64" s="23">
        <v>0</v>
      </c>
      <c r="N64" s="18" t="str">
        <f>IF(M64=0,"0",(O64*M64))</f>
        <v>0</v>
      </c>
      <c r="O64" s="18">
        <f>IF(W64=1,L64,((D64*G64/H64)-P64)/(1-V64)-S64-T64)</f>
        <v>3724.9</v>
      </c>
      <c r="P64" s="18">
        <v>0</v>
      </c>
      <c r="Q64" s="18">
        <f>IF(U64=0,"0",O64*U64)</f>
        <v>1097.9676140429067</v>
      </c>
      <c r="R64" s="24">
        <f>IF(U64=0,(((D64*G64/H64)-P64-S64-T64)/(1-V64)),(((D64*G64/H64)-P64-S64-T64)/(1-V64))-((D64*G64/H64)-P64-S64-T64)*U64/(1-V64))</f>
        <v>2626.932385957093</v>
      </c>
      <c r="S64" s="20">
        <v>0</v>
      </c>
      <c r="T64" s="20">
        <v>0</v>
      </c>
      <c r="U64" s="20">
        <v>0.294764319590568</v>
      </c>
      <c r="V64" s="20">
        <v>0</v>
      </c>
      <c r="W64" s="25">
        <f>IF(V64&gt;U64,1,V64)</f>
        <v>0</v>
      </c>
      <c r="X64" s="20">
        <v>1</v>
      </c>
      <c r="Y64" s="66">
        <v>0</v>
      </c>
      <c r="Z64" s="72" t="str">
        <f>IF(OR(W64=1,W64=0),"0",(Q64-N64))</f>
        <v>0</v>
      </c>
      <c r="AA64" s="67" t="s">
        <v>196</v>
      </c>
      <c r="AB64" s="18" t="s">
        <v>197</v>
      </c>
      <c r="AC64" s="18">
        <v>154.97</v>
      </c>
      <c r="AD64" s="18">
        <v>1000.15</v>
      </c>
      <c r="AE64" s="18">
        <f>ROUND(AC64*100,0)</f>
        <v>15497</v>
      </c>
      <c r="AF64" s="18">
        <f>ROUND(AD64*100,0)</f>
        <v>100015</v>
      </c>
      <c r="AG64" s="26" t="str">
        <f>IF(AC64=AD64,"TAM",(CONCATENATE(AE64,"/",AF64)))</f>
        <v>15497/100015</v>
      </c>
      <c r="AH64" s="27" t="s">
        <v>50</v>
      </c>
      <c r="AI64" s="27" t="s">
        <v>50</v>
      </c>
      <c r="AJ64" s="76"/>
      <c r="AK64" s="55" t="s">
        <v>50</v>
      </c>
      <c r="AL64" s="2" t="s">
        <v>50</v>
      </c>
    </row>
    <row r="65" spans="1:37" ht="12.75" customHeight="1">
      <c r="A65" s="56"/>
      <c r="B65" s="28"/>
      <c r="C65" s="28"/>
      <c r="D65" s="29"/>
      <c r="E65" s="30" t="s">
        <v>50</v>
      </c>
      <c r="F65" s="30"/>
      <c r="G65" s="30"/>
      <c r="H65" s="30"/>
      <c r="I65" s="29"/>
      <c r="J65" s="29"/>
      <c r="K65" s="31"/>
      <c r="L65" s="31"/>
      <c r="M65" s="31"/>
      <c r="N65" s="31"/>
      <c r="O65" s="31"/>
      <c r="P65" s="30"/>
      <c r="Q65" s="30"/>
      <c r="R65" s="30"/>
      <c r="S65" s="30"/>
      <c r="T65" s="30"/>
      <c r="U65" s="30"/>
      <c r="V65" s="30"/>
      <c r="W65" s="30"/>
      <c r="X65" s="30"/>
      <c r="Y65" s="57"/>
      <c r="Z65" s="73"/>
      <c r="AA65" s="12"/>
      <c r="AB65" s="28"/>
      <c r="AC65" s="28"/>
      <c r="AD65" s="28"/>
      <c r="AE65" s="28"/>
      <c r="AF65" s="28"/>
      <c r="AG65" s="28"/>
      <c r="AH65" s="28"/>
      <c r="AI65" s="28"/>
      <c r="AJ65" s="82"/>
      <c r="AK65" s="57"/>
    </row>
    <row r="66" spans="1:38" ht="12.75" customHeight="1">
      <c r="A66" s="54">
        <v>29</v>
      </c>
      <c r="B66" s="17">
        <v>1148</v>
      </c>
      <c r="C66" s="17" t="s">
        <v>198</v>
      </c>
      <c r="D66" s="18">
        <v>3384.38</v>
      </c>
      <c r="E66" s="19" t="s">
        <v>199</v>
      </c>
      <c r="F66" s="19" t="s">
        <v>200</v>
      </c>
      <c r="G66" s="20">
        <v>1</v>
      </c>
      <c r="H66" s="20">
        <v>1</v>
      </c>
      <c r="I66" s="18">
        <f>ROUND(G66,0)</f>
        <v>1</v>
      </c>
      <c r="J66" s="18">
        <f>ROUND(H66,0)</f>
        <v>1</v>
      </c>
      <c r="K66" s="21" t="str">
        <f>IF(I66=J66,"TAM",(CONCATENATE(G66,"/",H66)))</f>
        <v>TAM</v>
      </c>
      <c r="L66" s="22">
        <f>3384.38*1/1</f>
        <v>3384.38</v>
      </c>
      <c r="M66" s="23">
        <v>0</v>
      </c>
      <c r="N66" s="18" t="str">
        <f>IF(M66=0,"0",(O66*M66))</f>
        <v>0</v>
      </c>
      <c r="O66" s="18">
        <f>IF(W66=1,L66,((D66*G66/H66)-P66)/(1-V66)-S66-T66)</f>
        <v>3384.38</v>
      </c>
      <c r="P66" s="18">
        <v>0</v>
      </c>
      <c r="Q66" s="18">
        <f>IF(U66=0,"0",O66*U66)</f>
        <v>997.5944679359264</v>
      </c>
      <c r="R66" s="24">
        <f>IF(U66=0,(((D66*G66/H66)-P66-S66-T66)/(1-V66)),(((D66*G66/H66)-P66-S66-T66)/(1-V66))-((D66*G66/H66)-P66-S66-T66)*U66/(1-V66))</f>
        <v>2386.785532064074</v>
      </c>
      <c r="S66" s="20">
        <v>0</v>
      </c>
      <c r="T66" s="20">
        <v>0</v>
      </c>
      <c r="U66" s="20">
        <v>0.294764319590568</v>
      </c>
      <c r="V66" s="20">
        <v>0</v>
      </c>
      <c r="W66" s="25">
        <f>IF(V66&gt;U66,1,V66)</f>
        <v>0</v>
      </c>
      <c r="X66" s="20">
        <v>1</v>
      </c>
      <c r="Y66" s="66">
        <v>0</v>
      </c>
      <c r="Z66" s="72" t="str">
        <f>IF(OR(W66=1,W66=0),"0",(Q66-N66))</f>
        <v>0</v>
      </c>
      <c r="AA66" s="67" t="s">
        <v>201</v>
      </c>
      <c r="AB66" s="18" t="s">
        <v>202</v>
      </c>
      <c r="AC66" s="18">
        <v>1482.01</v>
      </c>
      <c r="AD66" s="18">
        <v>2380.07</v>
      </c>
      <c r="AE66" s="18">
        <f>ROUND(AC66*100,0)</f>
        <v>148201</v>
      </c>
      <c r="AF66" s="18">
        <f>ROUND(AD66*100,0)</f>
        <v>238007</v>
      </c>
      <c r="AG66" s="26" t="str">
        <f>IF(AC66=AD66,"TAM",(CONCATENATE(AE66,"/",AF66)))</f>
        <v>148201/238007</v>
      </c>
      <c r="AH66" s="27" t="s">
        <v>50</v>
      </c>
      <c r="AI66" s="27" t="s">
        <v>50</v>
      </c>
      <c r="AJ66" s="75" t="s">
        <v>715</v>
      </c>
      <c r="AK66" s="55" t="s">
        <v>50</v>
      </c>
      <c r="AL66" s="2" t="s">
        <v>50</v>
      </c>
    </row>
    <row r="67" spans="1:37" ht="12.75" customHeight="1">
      <c r="A67" s="56"/>
      <c r="B67" s="28"/>
      <c r="C67" s="28"/>
      <c r="D67" s="29"/>
      <c r="E67" s="30" t="s">
        <v>50</v>
      </c>
      <c r="F67" s="30"/>
      <c r="G67" s="30"/>
      <c r="H67" s="30"/>
      <c r="I67" s="29"/>
      <c r="J67" s="29"/>
      <c r="K67" s="31"/>
      <c r="L67" s="31"/>
      <c r="M67" s="31"/>
      <c r="N67" s="31"/>
      <c r="O67" s="31"/>
      <c r="P67" s="30"/>
      <c r="Q67" s="30"/>
      <c r="R67" s="30"/>
      <c r="S67" s="30"/>
      <c r="T67" s="30"/>
      <c r="U67" s="30"/>
      <c r="V67" s="30"/>
      <c r="W67" s="30"/>
      <c r="X67" s="30"/>
      <c r="Y67" s="57"/>
      <c r="Z67" s="73"/>
      <c r="AA67" s="12"/>
      <c r="AB67" s="28"/>
      <c r="AC67" s="28"/>
      <c r="AD67" s="28"/>
      <c r="AE67" s="28"/>
      <c r="AF67" s="28"/>
      <c r="AG67" s="28"/>
      <c r="AH67" s="28"/>
      <c r="AI67" s="28"/>
      <c r="AJ67" s="76"/>
      <c r="AK67" s="57"/>
    </row>
    <row r="68" spans="1:38" ht="12.75" customHeight="1">
      <c r="A68" s="54">
        <v>90</v>
      </c>
      <c r="B68" s="17">
        <v>1198</v>
      </c>
      <c r="C68" s="17" t="s">
        <v>203</v>
      </c>
      <c r="D68" s="18">
        <v>1273.42</v>
      </c>
      <c r="E68" s="19" t="s">
        <v>204</v>
      </c>
      <c r="F68" s="19" t="s">
        <v>205</v>
      </c>
      <c r="G68" s="20">
        <v>1</v>
      </c>
      <c r="H68" s="20">
        <v>1</v>
      </c>
      <c r="I68" s="18">
        <f>ROUND(G68,0)</f>
        <v>1</v>
      </c>
      <c r="J68" s="18">
        <f>ROUND(H68,0)</f>
        <v>1</v>
      </c>
      <c r="K68" s="21" t="str">
        <f>IF(I68=J68,"TAM",(CONCATENATE(G68,"/",H68)))</f>
        <v>TAM</v>
      </c>
      <c r="L68" s="22">
        <f>1273.42*1/1</f>
        <v>1273.42</v>
      </c>
      <c r="M68" s="23">
        <v>0</v>
      </c>
      <c r="N68" s="18" t="str">
        <f>IF(M68=0,"0",(O68*M68))</f>
        <v>0</v>
      </c>
      <c r="O68" s="18">
        <f>IF(W68=1,L68,((D68*G68/H68)-P68)/(1-V68)-S68-T68)</f>
        <v>1273.42</v>
      </c>
      <c r="P68" s="18">
        <v>0</v>
      </c>
      <c r="Q68" s="18">
        <f>IF(U68=0,"0",O68*U68)</f>
        <v>375.3587798530211</v>
      </c>
      <c r="R68" s="24">
        <f>IF(U68=0,(((D68*G68/H68)-P68-S68-T68)/(1-V68)),(((D68*G68/H68)-P68-S68-T68)/(1-V68))-((D68*G68/H68)-P68-S68-T68)*U68/(1-V68))</f>
        <v>898.0612201469789</v>
      </c>
      <c r="S68" s="20">
        <v>0</v>
      </c>
      <c r="T68" s="20">
        <v>0</v>
      </c>
      <c r="U68" s="20">
        <v>0.294764319590568</v>
      </c>
      <c r="V68" s="20">
        <v>0</v>
      </c>
      <c r="W68" s="25">
        <f>IF(V68&gt;U68,1,V68)</f>
        <v>0</v>
      </c>
      <c r="X68" s="20">
        <v>1</v>
      </c>
      <c r="Y68" s="66">
        <v>0</v>
      </c>
      <c r="Z68" s="72" t="str">
        <f>IF(OR(W68=1,W68=0),"0",(Q68-N68))</f>
        <v>0</v>
      </c>
      <c r="AA68" s="67" t="s">
        <v>206</v>
      </c>
      <c r="AB68" s="18" t="s">
        <v>207</v>
      </c>
      <c r="AC68" s="18">
        <v>898.06</v>
      </c>
      <c r="AD68" s="18">
        <v>2380.07</v>
      </c>
      <c r="AE68" s="18">
        <f>ROUND(AC68*100,0)</f>
        <v>89806</v>
      </c>
      <c r="AF68" s="18">
        <f>ROUND(AD68*100,0)</f>
        <v>238007</v>
      </c>
      <c r="AG68" s="26" t="str">
        <f>IF(AC68=AD68,"TAM",(CONCATENATE(AE68,"/",AF68)))</f>
        <v>89806/238007</v>
      </c>
      <c r="AH68" s="27" t="s">
        <v>50</v>
      </c>
      <c r="AI68" s="27" t="s">
        <v>50</v>
      </c>
      <c r="AJ68" s="76"/>
      <c r="AK68" s="55" t="s">
        <v>50</v>
      </c>
      <c r="AL68" s="2" t="s">
        <v>50</v>
      </c>
    </row>
    <row r="69" spans="1:37" ht="12.75" customHeight="1">
      <c r="A69" s="56"/>
      <c r="B69" s="28"/>
      <c r="C69" s="28"/>
      <c r="D69" s="29"/>
      <c r="E69" s="30" t="s">
        <v>50</v>
      </c>
      <c r="F69" s="30"/>
      <c r="G69" s="30"/>
      <c r="H69" s="30"/>
      <c r="I69" s="29"/>
      <c r="J69" s="29"/>
      <c r="K69" s="31"/>
      <c r="L69" s="31"/>
      <c r="M69" s="31"/>
      <c r="N69" s="31"/>
      <c r="O69" s="31"/>
      <c r="P69" s="30"/>
      <c r="Q69" s="30"/>
      <c r="R69" s="30"/>
      <c r="S69" s="30"/>
      <c r="T69" s="30"/>
      <c r="U69" s="30"/>
      <c r="V69" s="30"/>
      <c r="W69" s="30"/>
      <c r="X69" s="30"/>
      <c r="Y69" s="57"/>
      <c r="Z69" s="73"/>
      <c r="AA69" s="12"/>
      <c r="AB69" s="28"/>
      <c r="AC69" s="28"/>
      <c r="AD69" s="28"/>
      <c r="AE69" s="28"/>
      <c r="AF69" s="28"/>
      <c r="AG69" s="28"/>
      <c r="AH69" s="28"/>
      <c r="AI69" s="28"/>
      <c r="AJ69" s="82"/>
      <c r="AK69" s="57"/>
    </row>
    <row r="70" spans="1:38" ht="12.75" customHeight="1">
      <c r="A70" s="54">
        <v>89</v>
      </c>
      <c r="B70" s="17">
        <v>1197</v>
      </c>
      <c r="C70" s="17" t="s">
        <v>208</v>
      </c>
      <c r="D70" s="18">
        <v>2045.23</v>
      </c>
      <c r="E70" s="19" t="s">
        <v>209</v>
      </c>
      <c r="F70" s="19" t="s">
        <v>210</v>
      </c>
      <c r="G70" s="20">
        <v>1</v>
      </c>
      <c r="H70" s="20">
        <v>1</v>
      </c>
      <c r="I70" s="18">
        <f>ROUND(G70,0)</f>
        <v>1</v>
      </c>
      <c r="J70" s="18">
        <f>ROUND(H70,0)</f>
        <v>1</v>
      </c>
      <c r="K70" s="21" t="str">
        <f>IF(I70=J70,"TAM",(CONCATENATE(G70,"/",H70)))</f>
        <v>TAM</v>
      </c>
      <c r="L70" s="22">
        <f>2045.23*1/1</f>
        <v>2045.23</v>
      </c>
      <c r="M70" s="23">
        <v>0</v>
      </c>
      <c r="N70" s="18" t="str">
        <f>IF(M70=0,"0",(O70*M70))</f>
        <v>0</v>
      </c>
      <c r="O70" s="18">
        <f>IF(W70=1,L70,((D70*G70/H70)-P70)/(1-V70)-S70-T70)</f>
        <v>2045.23</v>
      </c>
      <c r="P70" s="18">
        <v>0</v>
      </c>
      <c r="Q70" s="18">
        <f>IF(U70=0,"0",O70*U70)</f>
        <v>602.8608293562173</v>
      </c>
      <c r="R70" s="24">
        <f>IF(U70=0,(((D70*G70/H70)-P70-S70-T70)/(1-V70)),(((D70*G70/H70)-P70-S70-T70)/(1-V70))-((D70*G70/H70)-P70-S70-T70)*U70/(1-V70))</f>
        <v>1442.3691706437826</v>
      </c>
      <c r="S70" s="20">
        <v>0</v>
      </c>
      <c r="T70" s="20">
        <v>0</v>
      </c>
      <c r="U70" s="20">
        <v>0.294764319590568</v>
      </c>
      <c r="V70" s="20">
        <v>0</v>
      </c>
      <c r="W70" s="25">
        <f>IF(V70&gt;U70,1,V70)</f>
        <v>0</v>
      </c>
      <c r="X70" s="20">
        <v>1</v>
      </c>
      <c r="Y70" s="66">
        <v>0</v>
      </c>
      <c r="Z70" s="72" t="str">
        <f>IF(OR(W70=1,W70=0),"0",(Q70-N70))</f>
        <v>0</v>
      </c>
      <c r="AA70" s="67" t="s">
        <v>211</v>
      </c>
      <c r="AB70" s="18" t="s">
        <v>213</v>
      </c>
      <c r="AC70" s="18">
        <v>1121.56</v>
      </c>
      <c r="AD70" s="18">
        <v>1121.56</v>
      </c>
      <c r="AE70" s="18">
        <f>ROUND(AC70*100,0)</f>
        <v>112156</v>
      </c>
      <c r="AF70" s="18">
        <f>ROUND(AD70*100,0)</f>
        <v>112156</v>
      </c>
      <c r="AG70" s="26" t="str">
        <f>IF(AC70=AD70,"TAM",(CONCATENATE(AE70,"/",AF70)))</f>
        <v>TAM</v>
      </c>
      <c r="AH70" s="27" t="s">
        <v>50</v>
      </c>
      <c r="AI70" s="27" t="s">
        <v>50</v>
      </c>
      <c r="AJ70" s="79" t="s">
        <v>212</v>
      </c>
      <c r="AK70" s="55" t="s">
        <v>50</v>
      </c>
      <c r="AL70" s="2" t="s">
        <v>50</v>
      </c>
    </row>
    <row r="71" spans="1:37" ht="12.75" customHeight="1">
      <c r="A71" s="56"/>
      <c r="B71" s="28"/>
      <c r="C71" s="28"/>
      <c r="D71" s="29"/>
      <c r="E71" s="30" t="s">
        <v>50</v>
      </c>
      <c r="F71" s="30"/>
      <c r="G71" s="30"/>
      <c r="H71" s="30"/>
      <c r="I71" s="29"/>
      <c r="J71" s="29"/>
      <c r="K71" s="31"/>
      <c r="L71" s="31"/>
      <c r="M71" s="31"/>
      <c r="N71" s="31"/>
      <c r="O71" s="31"/>
      <c r="P71" s="30"/>
      <c r="Q71" s="30"/>
      <c r="R71" s="30"/>
      <c r="S71" s="30"/>
      <c r="T71" s="30"/>
      <c r="U71" s="30"/>
      <c r="V71" s="30"/>
      <c r="W71" s="30"/>
      <c r="X71" s="30"/>
      <c r="Y71" s="57"/>
      <c r="Z71" s="73"/>
      <c r="AA71" s="12"/>
      <c r="AB71" s="28"/>
      <c r="AC71" s="28"/>
      <c r="AD71" s="28"/>
      <c r="AE71" s="28"/>
      <c r="AF71" s="28"/>
      <c r="AG71" s="28"/>
      <c r="AH71" s="28"/>
      <c r="AI71" s="28"/>
      <c r="AJ71" s="81"/>
      <c r="AK71" s="57"/>
    </row>
    <row r="72" spans="1:38" ht="12.75" customHeight="1">
      <c r="A72" s="54">
        <v>64</v>
      </c>
      <c r="B72" s="17">
        <v>1184</v>
      </c>
      <c r="C72" s="17" t="s">
        <v>214</v>
      </c>
      <c r="D72" s="18">
        <v>640.98</v>
      </c>
      <c r="E72" s="19" t="s">
        <v>215</v>
      </c>
      <c r="F72" s="19" t="s">
        <v>216</v>
      </c>
      <c r="G72" s="20">
        <v>1</v>
      </c>
      <c r="H72" s="20">
        <v>1</v>
      </c>
      <c r="I72" s="18">
        <f>ROUND(G72,0)</f>
        <v>1</v>
      </c>
      <c r="J72" s="18">
        <f>ROUND(H72,0)</f>
        <v>1</v>
      </c>
      <c r="K72" s="21" t="str">
        <f>IF(I72=J72,"TAM",(CONCATENATE(G72,"/",H72)))</f>
        <v>TAM</v>
      </c>
      <c r="L72" s="22">
        <f>640.98*1/1</f>
        <v>640.98</v>
      </c>
      <c r="M72" s="23">
        <v>0</v>
      </c>
      <c r="N72" s="18" t="str">
        <f>IF(M72=0,"0",(O72*M72))</f>
        <v>0</v>
      </c>
      <c r="O72" s="18">
        <f>IF(W72=1,L72,((D72*G72/H72)-P72)/(1-V72)-S72-T72)</f>
        <v>640.98</v>
      </c>
      <c r="P72" s="18">
        <v>0</v>
      </c>
      <c r="Q72" s="18">
        <f>IF(U72=0,"0",O72*U72)</f>
        <v>188.93803357116226</v>
      </c>
      <c r="R72" s="24">
        <f>IF(U72=0,(((D72*G72/H72)-P72-S72-T72)/(1-V72)),(((D72*G72/H72)-P72-S72-T72)/(1-V72))-((D72*G72/H72)-P72-S72-T72)*U72/(1-V72))</f>
        <v>452.0419664288378</v>
      </c>
      <c r="S72" s="20">
        <v>0</v>
      </c>
      <c r="T72" s="20">
        <v>0</v>
      </c>
      <c r="U72" s="20">
        <v>0.294764319590568</v>
      </c>
      <c r="V72" s="20">
        <v>0</v>
      </c>
      <c r="W72" s="25">
        <f>IF(V72&gt;U72,1,V72)</f>
        <v>0</v>
      </c>
      <c r="X72" s="20">
        <v>1</v>
      </c>
      <c r="Y72" s="66">
        <v>0</v>
      </c>
      <c r="Z72" s="72" t="str">
        <f>IF(OR(W72=1,W72=0),"0",(Q72-N72))</f>
        <v>0</v>
      </c>
      <c r="AA72" s="67" t="s">
        <v>217</v>
      </c>
      <c r="AB72" s="18" t="s">
        <v>219</v>
      </c>
      <c r="AC72" s="18">
        <v>452.04</v>
      </c>
      <c r="AD72" s="18">
        <v>1102.29</v>
      </c>
      <c r="AE72" s="18">
        <f>ROUND(AC72*100,0)</f>
        <v>45204</v>
      </c>
      <c r="AF72" s="18">
        <f>ROUND(AD72*100,0)</f>
        <v>110229</v>
      </c>
      <c r="AG72" s="26" t="str">
        <f>IF(AC72=AD72,"TAM",(CONCATENATE(AE72,"/",AF72)))</f>
        <v>45204/110229</v>
      </c>
      <c r="AH72" s="27" t="s">
        <v>50</v>
      </c>
      <c r="AI72" s="27" t="s">
        <v>50</v>
      </c>
      <c r="AJ72" s="75" t="s">
        <v>218</v>
      </c>
      <c r="AK72" s="55" t="s">
        <v>50</v>
      </c>
      <c r="AL72" s="2" t="s">
        <v>50</v>
      </c>
    </row>
    <row r="73" spans="1:37" ht="12.75" customHeight="1">
      <c r="A73" s="56"/>
      <c r="B73" s="28"/>
      <c r="C73" s="28"/>
      <c r="D73" s="29"/>
      <c r="E73" s="30" t="s">
        <v>50</v>
      </c>
      <c r="F73" s="30"/>
      <c r="G73" s="30"/>
      <c r="H73" s="30"/>
      <c r="I73" s="29"/>
      <c r="J73" s="29"/>
      <c r="K73" s="31"/>
      <c r="L73" s="31"/>
      <c r="M73" s="31"/>
      <c r="N73" s="31"/>
      <c r="O73" s="31"/>
      <c r="P73" s="30"/>
      <c r="Q73" s="30"/>
      <c r="R73" s="30"/>
      <c r="S73" s="30"/>
      <c r="T73" s="30"/>
      <c r="U73" s="30"/>
      <c r="V73" s="30"/>
      <c r="W73" s="30"/>
      <c r="X73" s="30"/>
      <c r="Y73" s="57"/>
      <c r="Z73" s="73"/>
      <c r="AA73" s="12"/>
      <c r="AB73" s="28"/>
      <c r="AC73" s="28"/>
      <c r="AD73" s="28"/>
      <c r="AE73" s="28"/>
      <c r="AF73" s="28"/>
      <c r="AG73" s="28"/>
      <c r="AH73" s="28"/>
      <c r="AI73" s="28"/>
      <c r="AJ73" s="76"/>
      <c r="AK73" s="57"/>
    </row>
    <row r="74" spans="1:38" ht="12.75" customHeight="1">
      <c r="A74" s="54">
        <v>65</v>
      </c>
      <c r="B74" s="17">
        <v>1185</v>
      </c>
      <c r="C74" s="17" t="s">
        <v>220</v>
      </c>
      <c r="D74" s="18">
        <v>2820.03</v>
      </c>
      <c r="E74" s="19" t="s">
        <v>221</v>
      </c>
      <c r="F74" s="19" t="s">
        <v>222</v>
      </c>
      <c r="G74" s="20">
        <v>1</v>
      </c>
      <c r="H74" s="20">
        <v>1</v>
      </c>
      <c r="I74" s="18">
        <f>ROUND(G74,0)</f>
        <v>1</v>
      </c>
      <c r="J74" s="18">
        <f>ROUND(H74,0)</f>
        <v>1</v>
      </c>
      <c r="K74" s="21" t="str">
        <f>IF(I74=J74,"TAM",(CONCATENATE(G74,"/",H74)))</f>
        <v>TAM</v>
      </c>
      <c r="L74" s="22">
        <f>2820.03*1/1</f>
        <v>2820.03</v>
      </c>
      <c r="M74" s="23">
        <v>0</v>
      </c>
      <c r="N74" s="18" t="str">
        <f>IF(M74=0,"0",(O74*M74))</f>
        <v>0</v>
      </c>
      <c r="O74" s="18">
        <f>IF(W74=1,L74,((D74*G74/H74)-P74)/(1-V74)-S74-T74)</f>
        <v>922.0300000000002</v>
      </c>
      <c r="P74" s="18">
        <v>1898</v>
      </c>
      <c r="Q74" s="18">
        <f>IF(U74=0,"0",O74*U74)</f>
        <v>271.78154559209145</v>
      </c>
      <c r="R74" s="24">
        <f>IF(U74=0,(((D74*G74/H74)-P74-S74-T74)/(1-V74)),(((D74*G74/H74)-P74-S74-T74)/(1-V74))-((D74*G74/H74)-P74-S74-T74)*U74/(1-V74))</f>
        <v>650.2484544079088</v>
      </c>
      <c r="S74" s="20">
        <v>0</v>
      </c>
      <c r="T74" s="20">
        <v>0</v>
      </c>
      <c r="U74" s="20">
        <v>0.294764319590568</v>
      </c>
      <c r="V74" s="20">
        <v>0</v>
      </c>
      <c r="W74" s="25">
        <f>IF(V74&gt;U74,1,V74)</f>
        <v>0</v>
      </c>
      <c r="X74" s="20">
        <v>1</v>
      </c>
      <c r="Y74" s="66">
        <v>0</v>
      </c>
      <c r="Z74" s="72" t="str">
        <f>IF(OR(W74=1,W74=0),"0",(Q74-N74))</f>
        <v>0</v>
      </c>
      <c r="AA74" s="67" t="s">
        <v>223</v>
      </c>
      <c r="AB74" s="18" t="s">
        <v>224</v>
      </c>
      <c r="AC74" s="18">
        <v>650.25</v>
      </c>
      <c r="AD74" s="18">
        <v>1102.29</v>
      </c>
      <c r="AE74" s="18">
        <f>ROUND(AC74*100,0)</f>
        <v>65025</v>
      </c>
      <c r="AF74" s="18">
        <f>ROUND(AD74*100,0)</f>
        <v>110229</v>
      </c>
      <c r="AG74" s="26" t="str">
        <f>IF(AC74=AD74,"TAM",(CONCATENATE(AE74,"/",AF74)))</f>
        <v>65025/110229</v>
      </c>
      <c r="AH74" s="27" t="s">
        <v>50</v>
      </c>
      <c r="AI74" s="27" t="s">
        <v>50</v>
      </c>
      <c r="AJ74" s="76"/>
      <c r="AK74" s="55" t="s">
        <v>50</v>
      </c>
      <c r="AL74" s="2" t="s">
        <v>50</v>
      </c>
    </row>
    <row r="75" spans="1:37" ht="12.75" customHeight="1">
      <c r="A75" s="56"/>
      <c r="B75" s="28"/>
      <c r="C75" s="28"/>
      <c r="D75" s="29"/>
      <c r="E75" s="30" t="s">
        <v>50</v>
      </c>
      <c r="F75" s="30"/>
      <c r="G75" s="30"/>
      <c r="H75" s="30"/>
      <c r="I75" s="29"/>
      <c r="J75" s="29"/>
      <c r="K75" s="31"/>
      <c r="L75" s="31"/>
      <c r="M75" s="31"/>
      <c r="N75" s="31"/>
      <c r="O75" s="31"/>
      <c r="P75" s="30"/>
      <c r="Q75" s="30"/>
      <c r="R75" s="30"/>
      <c r="S75" s="30"/>
      <c r="T75" s="30"/>
      <c r="U75" s="30"/>
      <c r="V75" s="30"/>
      <c r="W75" s="30"/>
      <c r="X75" s="30"/>
      <c r="Y75" s="57"/>
      <c r="Z75" s="73"/>
      <c r="AA75" s="12"/>
      <c r="AB75" s="28"/>
      <c r="AC75" s="28"/>
      <c r="AD75" s="28"/>
      <c r="AE75" s="28"/>
      <c r="AF75" s="28"/>
      <c r="AG75" s="28"/>
      <c r="AH75" s="28"/>
      <c r="AI75" s="28"/>
      <c r="AJ75" s="82"/>
      <c r="AK75" s="57"/>
    </row>
    <row r="76" spans="1:38" ht="12.75" customHeight="1">
      <c r="A76" s="54">
        <v>59</v>
      </c>
      <c r="B76" s="17">
        <v>1183</v>
      </c>
      <c r="C76" s="17" t="s">
        <v>225</v>
      </c>
      <c r="D76" s="18">
        <v>1182.07</v>
      </c>
      <c r="E76" s="19" t="s">
        <v>226</v>
      </c>
      <c r="F76" s="19" t="s">
        <v>227</v>
      </c>
      <c r="G76" s="20">
        <v>3</v>
      </c>
      <c r="H76" s="20">
        <v>288</v>
      </c>
      <c r="I76" s="18">
        <f>ROUND(G76,0)</f>
        <v>3</v>
      </c>
      <c r="J76" s="18">
        <f>ROUND(H76,0)</f>
        <v>288</v>
      </c>
      <c r="K76" s="21" t="str">
        <f>IF(I76=J76,"TAM",(CONCATENATE(G76,"/",H76)))</f>
        <v>3/288</v>
      </c>
      <c r="L76" s="22">
        <f>1182.07*3/288</f>
        <v>12.313229166666666</v>
      </c>
      <c r="M76" s="23">
        <v>0</v>
      </c>
      <c r="N76" s="18" t="str">
        <f>IF(M76=0,"0",(O76*M76))</f>
        <v>0</v>
      </c>
      <c r="O76" s="18">
        <f>IF(W76=1,L76,((D76*G76/H76)-P76)/(1-V76)-S76-T76)</f>
        <v>12.313229166666666</v>
      </c>
      <c r="P76" s="18">
        <v>0</v>
      </c>
      <c r="Q76" s="18">
        <f>IF(U76=0,"0",O76*U76)</f>
        <v>3.629500617275236</v>
      </c>
      <c r="R76" s="24">
        <f>IF(U76=0,(((D76*G76/H76)-P76-S76-T76)/(1-V76)),(((D76*G76/H76)-P76-S76-T76)/(1-V76))-((D76*G76/H76)-P76-S76-T76)*U76/(1-V76))</f>
        <v>8.68372854939143</v>
      </c>
      <c r="S76" s="20">
        <v>0</v>
      </c>
      <c r="T76" s="20">
        <v>0</v>
      </c>
      <c r="U76" s="20">
        <v>0.294764319590568</v>
      </c>
      <c r="V76" s="20">
        <v>0</v>
      </c>
      <c r="W76" s="25">
        <f>IF(V76&gt;U76,1,V76)</f>
        <v>0</v>
      </c>
      <c r="X76" s="20">
        <v>1</v>
      </c>
      <c r="Y76" s="66">
        <v>0</v>
      </c>
      <c r="Z76" s="72" t="str">
        <f>IF(OR(W76=1,W76=0),"0",(Q76-N76))</f>
        <v>0</v>
      </c>
      <c r="AA76" s="67" t="s">
        <v>228</v>
      </c>
      <c r="AB76" s="18" t="s">
        <v>230</v>
      </c>
      <c r="AC76" s="18">
        <v>8.68</v>
      </c>
      <c r="AD76" s="18">
        <v>950.36</v>
      </c>
      <c r="AE76" s="18">
        <f>ROUND(AC76*100,0)</f>
        <v>868</v>
      </c>
      <c r="AF76" s="18">
        <f>ROUND(AD76*100,0)</f>
        <v>95036</v>
      </c>
      <c r="AG76" s="26" t="str">
        <f>IF(AC76=AD76,"TAM",(CONCATENATE(AE76,"/",AF76)))</f>
        <v>868/95036</v>
      </c>
      <c r="AH76" s="27" t="s">
        <v>50</v>
      </c>
      <c r="AI76" s="27" t="s">
        <v>50</v>
      </c>
      <c r="AJ76" s="79" t="s">
        <v>229</v>
      </c>
      <c r="AK76" s="55" t="s">
        <v>50</v>
      </c>
      <c r="AL76" s="2" t="s">
        <v>50</v>
      </c>
    </row>
    <row r="77" spans="1:37" ht="12.75" customHeight="1">
      <c r="A77" s="56"/>
      <c r="B77" s="28"/>
      <c r="C77" s="28"/>
      <c r="D77" s="29"/>
      <c r="E77" s="30" t="s">
        <v>50</v>
      </c>
      <c r="F77" s="30"/>
      <c r="G77" s="30"/>
      <c r="H77" s="30"/>
      <c r="I77" s="29"/>
      <c r="J77" s="29"/>
      <c r="K77" s="31"/>
      <c r="L77" s="31"/>
      <c r="M77" s="31"/>
      <c r="N77" s="31"/>
      <c r="O77" s="31"/>
      <c r="P77" s="30"/>
      <c r="Q77" s="30"/>
      <c r="R77" s="30"/>
      <c r="S77" s="30"/>
      <c r="T77" s="30"/>
      <c r="U77" s="30"/>
      <c r="V77" s="30"/>
      <c r="W77" s="30"/>
      <c r="X77" s="30"/>
      <c r="Y77" s="57"/>
      <c r="Z77" s="73"/>
      <c r="AA77" s="12"/>
      <c r="AB77" s="28"/>
      <c r="AC77" s="28"/>
      <c r="AD77" s="28"/>
      <c r="AE77" s="28"/>
      <c r="AF77" s="28"/>
      <c r="AG77" s="28"/>
      <c r="AH77" s="28"/>
      <c r="AI77" s="28"/>
      <c r="AJ77" s="80"/>
      <c r="AK77" s="57"/>
    </row>
    <row r="78" spans="1:38" ht="12.75" customHeight="1">
      <c r="A78" s="54">
        <v>41</v>
      </c>
      <c r="B78" s="17">
        <v>1183</v>
      </c>
      <c r="C78" s="17" t="s">
        <v>231</v>
      </c>
      <c r="D78" s="18">
        <v>1182.07</v>
      </c>
      <c r="E78" s="19" t="s">
        <v>232</v>
      </c>
      <c r="F78" s="19" t="s">
        <v>233</v>
      </c>
      <c r="G78" s="20">
        <v>36</v>
      </c>
      <c r="H78" s="20">
        <v>288</v>
      </c>
      <c r="I78" s="18">
        <f>ROUND(G78,0)</f>
        <v>36</v>
      </c>
      <c r="J78" s="18">
        <f>ROUND(H78,0)</f>
        <v>288</v>
      </c>
      <c r="K78" s="21" t="str">
        <f>IF(I78=J78,"TAM",(CONCATENATE(G78,"/",H78)))</f>
        <v>36/288</v>
      </c>
      <c r="L78" s="22">
        <f>1182.07*36/288</f>
        <v>147.75875</v>
      </c>
      <c r="M78" s="23">
        <v>0</v>
      </c>
      <c r="N78" s="18" t="str">
        <f>IF(M78=0,"0",(O78*M78))</f>
        <v>0</v>
      </c>
      <c r="O78" s="18">
        <f>IF(W78=1,L78,((D78*G78/H78)-P78)/(1-V78)-S78-T78)</f>
        <v>147.75875</v>
      </c>
      <c r="P78" s="18">
        <v>0</v>
      </c>
      <c r="Q78" s="18">
        <f>IF(U78=0,"0",O78*U78)</f>
        <v>43.554007407302834</v>
      </c>
      <c r="R78" s="24">
        <f>IF(U78=0,(((D78*G78/H78)-P78-S78-T78)/(1-V78)),(((D78*G78/H78)-P78-S78-T78)/(1-V78))-((D78*G78/H78)-P78-S78-T78)*U78/(1-V78))</f>
        <v>104.20474259269716</v>
      </c>
      <c r="S78" s="20">
        <v>0</v>
      </c>
      <c r="T78" s="20">
        <v>0</v>
      </c>
      <c r="U78" s="20">
        <v>0.294764319590568</v>
      </c>
      <c r="V78" s="20">
        <v>0</v>
      </c>
      <c r="W78" s="25">
        <f>IF(V78&gt;U78,1,V78)</f>
        <v>0</v>
      </c>
      <c r="X78" s="20">
        <v>1</v>
      </c>
      <c r="Y78" s="66">
        <v>0</v>
      </c>
      <c r="Z78" s="72" t="str">
        <f>IF(OR(W78=1,W78=0),"0",(Q78-N78))</f>
        <v>0</v>
      </c>
      <c r="AA78" s="67" t="s">
        <v>234</v>
      </c>
      <c r="AB78" s="18" t="s">
        <v>235</v>
      </c>
      <c r="AC78" s="18">
        <v>104.21</v>
      </c>
      <c r="AD78" s="18">
        <v>950.36</v>
      </c>
      <c r="AE78" s="18">
        <f>ROUND(AC78*100,0)</f>
        <v>10421</v>
      </c>
      <c r="AF78" s="18">
        <f>ROUND(AD78*100,0)</f>
        <v>95036</v>
      </c>
      <c r="AG78" s="26" t="str">
        <f>IF(AC78=AD78,"TAM",(CONCATENATE(AE78,"/",AF78)))</f>
        <v>10421/95036</v>
      </c>
      <c r="AH78" s="27" t="s">
        <v>50</v>
      </c>
      <c r="AI78" s="27" t="s">
        <v>50</v>
      </c>
      <c r="AJ78" s="80"/>
      <c r="AK78" s="55" t="s">
        <v>50</v>
      </c>
      <c r="AL78" s="2" t="s">
        <v>50</v>
      </c>
    </row>
    <row r="79" spans="1:37" ht="12.75" customHeight="1">
      <c r="A79" s="56"/>
      <c r="B79" s="28"/>
      <c r="C79" s="28"/>
      <c r="D79" s="29"/>
      <c r="E79" s="30" t="s">
        <v>50</v>
      </c>
      <c r="F79" s="30"/>
      <c r="G79" s="30"/>
      <c r="H79" s="30"/>
      <c r="I79" s="29"/>
      <c r="J79" s="29"/>
      <c r="K79" s="31"/>
      <c r="L79" s="31"/>
      <c r="M79" s="31"/>
      <c r="N79" s="31"/>
      <c r="O79" s="31"/>
      <c r="P79" s="30"/>
      <c r="Q79" s="30"/>
      <c r="R79" s="30"/>
      <c r="S79" s="30"/>
      <c r="T79" s="30"/>
      <c r="U79" s="30"/>
      <c r="V79" s="30"/>
      <c r="W79" s="30"/>
      <c r="X79" s="30"/>
      <c r="Y79" s="57"/>
      <c r="Z79" s="73"/>
      <c r="AA79" s="12"/>
      <c r="AB79" s="28"/>
      <c r="AC79" s="28"/>
      <c r="AD79" s="28"/>
      <c r="AE79" s="28"/>
      <c r="AF79" s="28"/>
      <c r="AG79" s="28"/>
      <c r="AH79" s="28"/>
      <c r="AI79" s="28"/>
      <c r="AJ79" s="80"/>
      <c r="AK79" s="57"/>
    </row>
    <row r="80" spans="1:38" ht="12.75" customHeight="1">
      <c r="A80" s="54">
        <v>45</v>
      </c>
      <c r="B80" s="17">
        <v>1183</v>
      </c>
      <c r="C80" s="17" t="s">
        <v>236</v>
      </c>
      <c r="D80" s="18">
        <v>1182.07</v>
      </c>
      <c r="E80" s="19" t="s">
        <v>237</v>
      </c>
      <c r="F80" s="19" t="s">
        <v>238</v>
      </c>
      <c r="G80" s="20">
        <v>3</v>
      </c>
      <c r="H80" s="20">
        <v>288</v>
      </c>
      <c r="I80" s="18">
        <f>ROUND(G80,0)</f>
        <v>3</v>
      </c>
      <c r="J80" s="18">
        <f>ROUND(H80,0)</f>
        <v>288</v>
      </c>
      <c r="K80" s="21" t="str">
        <f>IF(I80=J80,"TAM",(CONCATENATE(G80,"/",H80)))</f>
        <v>3/288</v>
      </c>
      <c r="L80" s="22">
        <f>1182.07*3/288</f>
        <v>12.313229166666666</v>
      </c>
      <c r="M80" s="23">
        <v>0</v>
      </c>
      <c r="N80" s="18" t="str">
        <f>IF(M80=0,"0",(O80*M80))</f>
        <v>0</v>
      </c>
      <c r="O80" s="18">
        <f>IF(W80=1,L80,((D80*G80/H80)-P80)/(1-V80)-S80-T80)</f>
        <v>12.313229166666666</v>
      </c>
      <c r="P80" s="18">
        <v>0</v>
      </c>
      <c r="Q80" s="18">
        <f>IF(U80=0,"0",O80*U80)</f>
        <v>3.629500617275236</v>
      </c>
      <c r="R80" s="24">
        <f>IF(U80=0,(((D80*G80/H80)-P80-S80-T80)/(1-V80)),(((D80*G80/H80)-P80-S80-T80)/(1-V80))-((D80*G80/H80)-P80-S80-T80)*U80/(1-V80))</f>
        <v>8.68372854939143</v>
      </c>
      <c r="S80" s="20">
        <v>0</v>
      </c>
      <c r="T80" s="20">
        <v>0</v>
      </c>
      <c r="U80" s="20">
        <v>0.294764319590568</v>
      </c>
      <c r="V80" s="20">
        <v>0</v>
      </c>
      <c r="W80" s="25">
        <f>IF(V80&gt;U80,1,V80)</f>
        <v>0</v>
      </c>
      <c r="X80" s="20">
        <v>1</v>
      </c>
      <c r="Y80" s="66">
        <v>0</v>
      </c>
      <c r="Z80" s="72" t="str">
        <f>IF(OR(W80=1,W80=0),"0",(Q80-N80))</f>
        <v>0</v>
      </c>
      <c r="AA80" s="67" t="s">
        <v>239</v>
      </c>
      <c r="AB80" s="18" t="s">
        <v>240</v>
      </c>
      <c r="AC80" s="18">
        <v>8.69</v>
      </c>
      <c r="AD80" s="18">
        <v>950.36</v>
      </c>
      <c r="AE80" s="18">
        <f>ROUND(AC80*100,0)</f>
        <v>869</v>
      </c>
      <c r="AF80" s="18">
        <f>ROUND(AD80*100,0)</f>
        <v>95036</v>
      </c>
      <c r="AG80" s="26" t="str">
        <f>IF(AC80=AD80,"TAM",(CONCATENATE(AE80,"/",AF80)))</f>
        <v>869/95036</v>
      </c>
      <c r="AH80" s="27" t="s">
        <v>50</v>
      </c>
      <c r="AI80" s="27" t="s">
        <v>50</v>
      </c>
      <c r="AJ80" s="80"/>
      <c r="AK80" s="55" t="s">
        <v>50</v>
      </c>
      <c r="AL80" s="2" t="s">
        <v>50</v>
      </c>
    </row>
    <row r="81" spans="1:37" ht="12.75" customHeight="1">
      <c r="A81" s="56"/>
      <c r="B81" s="28"/>
      <c r="C81" s="28"/>
      <c r="D81" s="29"/>
      <c r="E81" s="30" t="s">
        <v>50</v>
      </c>
      <c r="F81" s="30"/>
      <c r="G81" s="30"/>
      <c r="H81" s="30"/>
      <c r="I81" s="29"/>
      <c r="J81" s="29"/>
      <c r="K81" s="31"/>
      <c r="L81" s="31"/>
      <c r="M81" s="31"/>
      <c r="N81" s="31"/>
      <c r="O81" s="31"/>
      <c r="P81" s="30"/>
      <c r="Q81" s="30"/>
      <c r="R81" s="30"/>
      <c r="S81" s="30"/>
      <c r="T81" s="30"/>
      <c r="U81" s="30"/>
      <c r="V81" s="30"/>
      <c r="W81" s="30"/>
      <c r="X81" s="30"/>
      <c r="Y81" s="57"/>
      <c r="Z81" s="73"/>
      <c r="AA81" s="12"/>
      <c r="AB81" s="28"/>
      <c r="AC81" s="28"/>
      <c r="AD81" s="28"/>
      <c r="AE81" s="28"/>
      <c r="AF81" s="28"/>
      <c r="AG81" s="28"/>
      <c r="AH81" s="28"/>
      <c r="AI81" s="28"/>
      <c r="AJ81" s="80"/>
      <c r="AK81" s="57"/>
    </row>
    <row r="82" spans="1:38" ht="12.75" customHeight="1">
      <c r="A82" s="54">
        <v>42</v>
      </c>
      <c r="B82" s="17">
        <v>1183</v>
      </c>
      <c r="C82" s="17" t="s">
        <v>241</v>
      </c>
      <c r="D82" s="18">
        <v>1182.07</v>
      </c>
      <c r="E82" s="19" t="s">
        <v>242</v>
      </c>
      <c r="F82" s="19" t="s">
        <v>243</v>
      </c>
      <c r="G82" s="20">
        <v>36</v>
      </c>
      <c r="H82" s="20">
        <v>288</v>
      </c>
      <c r="I82" s="18">
        <f>ROUND(G82,0)</f>
        <v>36</v>
      </c>
      <c r="J82" s="18">
        <f>ROUND(H82,0)</f>
        <v>288</v>
      </c>
      <c r="K82" s="21" t="str">
        <f>IF(I82=J82,"TAM",(CONCATENATE(G82,"/",H82)))</f>
        <v>36/288</v>
      </c>
      <c r="L82" s="22">
        <f>1182.07*36/288</f>
        <v>147.75875</v>
      </c>
      <c r="M82" s="23">
        <v>0</v>
      </c>
      <c r="N82" s="18" t="str">
        <f>IF(M82=0,"0",(O82*M82))</f>
        <v>0</v>
      </c>
      <c r="O82" s="18">
        <f>IF(W82=1,L82,((D82*G82/H82)-P82)/(1-V82)-S82-T82)</f>
        <v>147.75875</v>
      </c>
      <c r="P82" s="18">
        <v>0</v>
      </c>
      <c r="Q82" s="18">
        <f>IF(U82=0,"0",O82*U82)</f>
        <v>43.554007407302834</v>
      </c>
      <c r="R82" s="24">
        <f>IF(U82=0,(((D82*G82/H82)-P82-S82-T82)/(1-V82)),(((D82*G82/H82)-P82-S82-T82)/(1-V82))-((D82*G82/H82)-P82-S82-T82)*U82/(1-V82))</f>
        <v>104.20474259269716</v>
      </c>
      <c r="S82" s="20">
        <v>0</v>
      </c>
      <c r="T82" s="20">
        <v>0</v>
      </c>
      <c r="U82" s="20">
        <v>0.294764319590568</v>
      </c>
      <c r="V82" s="20">
        <v>0</v>
      </c>
      <c r="W82" s="25">
        <f>IF(V82&gt;U82,1,V82)</f>
        <v>0</v>
      </c>
      <c r="X82" s="20">
        <v>1</v>
      </c>
      <c r="Y82" s="66">
        <v>0</v>
      </c>
      <c r="Z82" s="72" t="str">
        <f>IF(OR(W82=1,W82=0),"0",(Q82-N82))</f>
        <v>0</v>
      </c>
      <c r="AA82" s="67" t="s">
        <v>244</v>
      </c>
      <c r="AB82" s="18" t="s">
        <v>245</v>
      </c>
      <c r="AC82" s="18">
        <v>104.21</v>
      </c>
      <c r="AD82" s="18">
        <v>950.36</v>
      </c>
      <c r="AE82" s="18">
        <f>ROUND(AC82*100,0)</f>
        <v>10421</v>
      </c>
      <c r="AF82" s="18">
        <f>ROUND(AD82*100,0)</f>
        <v>95036</v>
      </c>
      <c r="AG82" s="26" t="str">
        <f>IF(AC82=AD82,"TAM",(CONCATENATE(AE82,"/",AF82)))</f>
        <v>10421/95036</v>
      </c>
      <c r="AH82" s="27" t="s">
        <v>50</v>
      </c>
      <c r="AI82" s="27" t="s">
        <v>50</v>
      </c>
      <c r="AJ82" s="80"/>
      <c r="AK82" s="55" t="s">
        <v>50</v>
      </c>
      <c r="AL82" s="2" t="s">
        <v>50</v>
      </c>
    </row>
    <row r="83" spans="1:37" ht="12.75" customHeight="1">
      <c r="A83" s="56"/>
      <c r="B83" s="28"/>
      <c r="C83" s="28"/>
      <c r="D83" s="29"/>
      <c r="E83" s="30" t="s">
        <v>50</v>
      </c>
      <c r="F83" s="30"/>
      <c r="G83" s="30"/>
      <c r="H83" s="30"/>
      <c r="I83" s="29"/>
      <c r="J83" s="29"/>
      <c r="K83" s="31"/>
      <c r="L83" s="31"/>
      <c r="M83" s="31"/>
      <c r="N83" s="31"/>
      <c r="O83" s="31"/>
      <c r="P83" s="30"/>
      <c r="Q83" s="30"/>
      <c r="R83" s="30"/>
      <c r="S83" s="30"/>
      <c r="T83" s="30"/>
      <c r="U83" s="30"/>
      <c r="V83" s="30"/>
      <c r="W83" s="30"/>
      <c r="X83" s="30"/>
      <c r="Y83" s="57"/>
      <c r="Z83" s="73"/>
      <c r="AA83" s="12"/>
      <c r="AB83" s="28"/>
      <c r="AC83" s="28"/>
      <c r="AD83" s="28"/>
      <c r="AE83" s="28"/>
      <c r="AF83" s="28"/>
      <c r="AG83" s="28"/>
      <c r="AH83" s="28"/>
      <c r="AI83" s="28"/>
      <c r="AJ83" s="80"/>
      <c r="AK83" s="57"/>
    </row>
    <row r="84" spans="1:38" ht="12.75" customHeight="1">
      <c r="A84" s="54">
        <v>49</v>
      </c>
      <c r="B84" s="17">
        <v>1183</v>
      </c>
      <c r="C84" s="17" t="s">
        <v>246</v>
      </c>
      <c r="D84" s="18">
        <v>1182.07</v>
      </c>
      <c r="E84" s="19" t="s">
        <v>247</v>
      </c>
      <c r="F84" s="19" t="s">
        <v>248</v>
      </c>
      <c r="G84" s="20">
        <v>4</v>
      </c>
      <c r="H84" s="20">
        <v>288</v>
      </c>
      <c r="I84" s="18">
        <f>ROUND(G84,0)</f>
        <v>4</v>
      </c>
      <c r="J84" s="18">
        <f>ROUND(H84,0)</f>
        <v>288</v>
      </c>
      <c r="K84" s="21" t="str">
        <f>IF(I84=J84,"TAM",(CONCATENATE(G84,"/",H84)))</f>
        <v>4/288</v>
      </c>
      <c r="L84" s="22">
        <f>1182.07*4/288</f>
        <v>16.417638888888888</v>
      </c>
      <c r="M84" s="23">
        <v>0</v>
      </c>
      <c r="N84" s="18" t="str">
        <f>IF(M84=0,"0",(O84*M84))</f>
        <v>0</v>
      </c>
      <c r="O84" s="18">
        <f>IF(W84=1,L84,((D84*G84/H84)-P84)/(1-V84)-S84-T84)</f>
        <v>16.417638888888888</v>
      </c>
      <c r="P84" s="18">
        <v>0</v>
      </c>
      <c r="Q84" s="18">
        <f>IF(U84=0,"0",O84*U84)</f>
        <v>4.839334156366982</v>
      </c>
      <c r="R84" s="24">
        <f>IF(U84=0,(((D84*G84/H84)-P84-S84-T84)/(1-V84)),(((D84*G84/H84)-P84-S84-T84)/(1-V84))-((D84*G84/H84)-P84-S84-T84)*U84/(1-V84))</f>
        <v>11.578304732521907</v>
      </c>
      <c r="S84" s="20">
        <v>0</v>
      </c>
      <c r="T84" s="20">
        <v>0</v>
      </c>
      <c r="U84" s="20">
        <v>0.294764319590568</v>
      </c>
      <c r="V84" s="20">
        <v>0</v>
      </c>
      <c r="W84" s="25">
        <f>IF(V84&gt;U84,1,V84)</f>
        <v>0</v>
      </c>
      <c r="X84" s="20">
        <v>1</v>
      </c>
      <c r="Y84" s="66">
        <v>0</v>
      </c>
      <c r="Z84" s="72" t="str">
        <f>IF(OR(W84=1,W84=0),"0",(Q84-N84))</f>
        <v>0</v>
      </c>
      <c r="AA84" s="67" t="s">
        <v>249</v>
      </c>
      <c r="AB84" s="18" t="s">
        <v>250</v>
      </c>
      <c r="AC84" s="18">
        <v>11.58</v>
      </c>
      <c r="AD84" s="18">
        <v>950.36</v>
      </c>
      <c r="AE84" s="18">
        <f>ROUND(AC84*100,0)</f>
        <v>1158</v>
      </c>
      <c r="AF84" s="18">
        <f>ROUND(AD84*100,0)</f>
        <v>95036</v>
      </c>
      <c r="AG84" s="26" t="str">
        <f>IF(AC84=AD84,"TAM",(CONCATENATE(AE84,"/",AF84)))</f>
        <v>1158/95036</v>
      </c>
      <c r="AH84" s="27" t="s">
        <v>50</v>
      </c>
      <c r="AI84" s="27" t="s">
        <v>50</v>
      </c>
      <c r="AJ84" s="80"/>
      <c r="AK84" s="55" t="s">
        <v>50</v>
      </c>
      <c r="AL84" s="2" t="s">
        <v>50</v>
      </c>
    </row>
    <row r="85" spans="1:37" ht="12.75" customHeight="1">
      <c r="A85" s="56"/>
      <c r="B85" s="28"/>
      <c r="C85" s="28"/>
      <c r="D85" s="29"/>
      <c r="E85" s="30" t="s">
        <v>50</v>
      </c>
      <c r="F85" s="30"/>
      <c r="G85" s="30"/>
      <c r="H85" s="30"/>
      <c r="I85" s="29"/>
      <c r="J85" s="29"/>
      <c r="K85" s="31"/>
      <c r="L85" s="31"/>
      <c r="M85" s="31"/>
      <c r="N85" s="31"/>
      <c r="O85" s="31"/>
      <c r="P85" s="30"/>
      <c r="Q85" s="30"/>
      <c r="R85" s="30"/>
      <c r="S85" s="30"/>
      <c r="T85" s="30"/>
      <c r="U85" s="30"/>
      <c r="V85" s="30"/>
      <c r="W85" s="30"/>
      <c r="X85" s="30"/>
      <c r="Y85" s="57"/>
      <c r="Z85" s="73"/>
      <c r="AA85" s="12"/>
      <c r="AB85" s="28"/>
      <c r="AC85" s="28"/>
      <c r="AD85" s="28"/>
      <c r="AE85" s="28"/>
      <c r="AF85" s="28"/>
      <c r="AG85" s="28"/>
      <c r="AH85" s="28"/>
      <c r="AI85" s="28"/>
      <c r="AJ85" s="80"/>
      <c r="AK85" s="57"/>
    </row>
    <row r="86" spans="1:38" ht="12.75" customHeight="1">
      <c r="A86" s="54">
        <v>40</v>
      </c>
      <c r="B86" s="17">
        <v>1183</v>
      </c>
      <c r="C86" s="17" t="s">
        <v>251</v>
      </c>
      <c r="D86" s="18">
        <v>1182.07</v>
      </c>
      <c r="E86" s="19" t="s">
        <v>252</v>
      </c>
      <c r="F86" s="19" t="s">
        <v>253</v>
      </c>
      <c r="G86" s="20">
        <v>36</v>
      </c>
      <c r="H86" s="20">
        <v>288</v>
      </c>
      <c r="I86" s="18">
        <f>ROUND(G86,0)</f>
        <v>36</v>
      </c>
      <c r="J86" s="18">
        <f>ROUND(H86,0)</f>
        <v>288</v>
      </c>
      <c r="K86" s="21" t="str">
        <f>IF(I86=J86,"TAM",(CONCATENATE(G86,"/",H86)))</f>
        <v>36/288</v>
      </c>
      <c r="L86" s="22">
        <f>1182.07*36/288</f>
        <v>147.75875</v>
      </c>
      <c r="M86" s="23">
        <v>0</v>
      </c>
      <c r="N86" s="18" t="str">
        <f>IF(M86=0,"0",(O86*M86))</f>
        <v>0</v>
      </c>
      <c r="O86" s="18">
        <f>IF(W86=1,L86,((D86*G86/H86)-P86)/(1-V86)-S86-T86)</f>
        <v>147.75875</v>
      </c>
      <c r="P86" s="18">
        <v>0</v>
      </c>
      <c r="Q86" s="18">
        <f>IF(U86=0,"0",O86*U86)</f>
        <v>43.554007407302834</v>
      </c>
      <c r="R86" s="24">
        <f>IF(U86=0,(((D86*G86/H86)-P86-S86-T86)/(1-V86)),(((D86*G86/H86)-P86-S86-T86)/(1-V86))-((D86*G86/H86)-P86-S86-T86)*U86/(1-V86))</f>
        <v>104.20474259269716</v>
      </c>
      <c r="S86" s="20">
        <v>0</v>
      </c>
      <c r="T86" s="20">
        <v>0</v>
      </c>
      <c r="U86" s="20">
        <v>0.294764319590568</v>
      </c>
      <c r="V86" s="20">
        <v>0</v>
      </c>
      <c r="W86" s="25">
        <f>IF(V86&gt;U86,1,V86)</f>
        <v>0</v>
      </c>
      <c r="X86" s="20">
        <v>1</v>
      </c>
      <c r="Y86" s="66">
        <v>0</v>
      </c>
      <c r="Z86" s="72" t="str">
        <f>IF(OR(W86=1,W86=0),"0",(Q86-N86))</f>
        <v>0</v>
      </c>
      <c r="AA86" s="67" t="s">
        <v>254</v>
      </c>
      <c r="AB86" s="18" t="s">
        <v>255</v>
      </c>
      <c r="AC86" s="18">
        <v>104.21</v>
      </c>
      <c r="AD86" s="18">
        <v>950.36</v>
      </c>
      <c r="AE86" s="18">
        <f>ROUND(AC86*100,0)</f>
        <v>10421</v>
      </c>
      <c r="AF86" s="18">
        <f>ROUND(AD86*100,0)</f>
        <v>95036</v>
      </c>
      <c r="AG86" s="26" t="str">
        <f>IF(AC86=AD86,"TAM",(CONCATENATE(AE86,"/",AF86)))</f>
        <v>10421/95036</v>
      </c>
      <c r="AH86" s="27" t="s">
        <v>50</v>
      </c>
      <c r="AI86" s="27" t="s">
        <v>50</v>
      </c>
      <c r="AJ86" s="80"/>
      <c r="AK86" s="55" t="s">
        <v>50</v>
      </c>
      <c r="AL86" s="2" t="s">
        <v>50</v>
      </c>
    </row>
    <row r="87" spans="1:37" ht="12.75" customHeight="1">
      <c r="A87" s="56"/>
      <c r="B87" s="28"/>
      <c r="C87" s="28"/>
      <c r="D87" s="29"/>
      <c r="E87" s="30" t="s">
        <v>50</v>
      </c>
      <c r="F87" s="30"/>
      <c r="G87" s="30"/>
      <c r="H87" s="30"/>
      <c r="I87" s="29"/>
      <c r="J87" s="29"/>
      <c r="K87" s="31"/>
      <c r="L87" s="31"/>
      <c r="M87" s="31"/>
      <c r="N87" s="31"/>
      <c r="O87" s="31"/>
      <c r="P87" s="30"/>
      <c r="Q87" s="30"/>
      <c r="R87" s="30"/>
      <c r="S87" s="30"/>
      <c r="T87" s="30"/>
      <c r="U87" s="30"/>
      <c r="V87" s="30"/>
      <c r="W87" s="30"/>
      <c r="X87" s="30"/>
      <c r="Y87" s="57"/>
      <c r="Z87" s="73"/>
      <c r="AA87" s="12"/>
      <c r="AB87" s="28"/>
      <c r="AC87" s="28"/>
      <c r="AD87" s="28"/>
      <c r="AE87" s="28"/>
      <c r="AF87" s="28"/>
      <c r="AG87" s="28"/>
      <c r="AH87" s="28"/>
      <c r="AI87" s="28"/>
      <c r="AJ87" s="80"/>
      <c r="AK87" s="57"/>
    </row>
    <row r="88" spans="1:38" ht="12.75" customHeight="1">
      <c r="A88" s="54">
        <v>39</v>
      </c>
      <c r="B88" s="17">
        <v>1183</v>
      </c>
      <c r="C88" s="17" t="s">
        <v>256</v>
      </c>
      <c r="D88" s="18">
        <v>1182.07</v>
      </c>
      <c r="E88" s="19" t="s">
        <v>257</v>
      </c>
      <c r="F88" s="19" t="s">
        <v>258</v>
      </c>
      <c r="G88" s="20">
        <v>36</v>
      </c>
      <c r="H88" s="20">
        <v>288</v>
      </c>
      <c r="I88" s="18">
        <f>ROUND(G88,0)</f>
        <v>36</v>
      </c>
      <c r="J88" s="18">
        <f>ROUND(H88,0)</f>
        <v>288</v>
      </c>
      <c r="K88" s="21" t="str">
        <f>IF(I88=J88,"TAM",(CONCATENATE(G88,"/",H88)))</f>
        <v>36/288</v>
      </c>
      <c r="L88" s="22">
        <f>1182.07*36/288</f>
        <v>147.75875</v>
      </c>
      <c r="M88" s="23">
        <v>0</v>
      </c>
      <c r="N88" s="18" t="str">
        <f>IF(M88=0,"0",(O88*M88))</f>
        <v>0</v>
      </c>
      <c r="O88" s="18">
        <f>IF(W88=1,L88,((D88*G88/H88)-P88)/(1-V88)-S88-T88)</f>
        <v>147.75875</v>
      </c>
      <c r="P88" s="18">
        <v>0</v>
      </c>
      <c r="Q88" s="18">
        <f>IF(U88=0,"0",O88*U88)</f>
        <v>43.554007407302834</v>
      </c>
      <c r="R88" s="24">
        <f>IF(U88=0,(((D88*G88/H88)-P88-S88-T88)/(1-V88)),(((D88*G88/H88)-P88-S88-T88)/(1-V88))-((D88*G88/H88)-P88-S88-T88)*U88/(1-V88))</f>
        <v>104.20474259269716</v>
      </c>
      <c r="S88" s="20">
        <v>0</v>
      </c>
      <c r="T88" s="20">
        <v>0</v>
      </c>
      <c r="U88" s="20">
        <v>0.294764319590568</v>
      </c>
      <c r="V88" s="20">
        <v>0</v>
      </c>
      <c r="W88" s="25">
        <f>IF(V88&gt;U88,1,V88)</f>
        <v>0</v>
      </c>
      <c r="X88" s="20">
        <v>1</v>
      </c>
      <c r="Y88" s="66">
        <v>0</v>
      </c>
      <c r="Z88" s="72" t="str">
        <f>IF(OR(W88=1,W88=0),"0",(Q88-N88))</f>
        <v>0</v>
      </c>
      <c r="AA88" s="67" t="s">
        <v>259</v>
      </c>
      <c r="AB88" s="18" t="s">
        <v>260</v>
      </c>
      <c r="AC88" s="18">
        <v>104.21</v>
      </c>
      <c r="AD88" s="18">
        <v>950.36</v>
      </c>
      <c r="AE88" s="18">
        <f>ROUND(AC88*100,0)</f>
        <v>10421</v>
      </c>
      <c r="AF88" s="18">
        <f>ROUND(AD88*100,0)</f>
        <v>95036</v>
      </c>
      <c r="AG88" s="26" t="str">
        <f>IF(AC88=AD88,"TAM",(CONCATENATE(AE88,"/",AF88)))</f>
        <v>10421/95036</v>
      </c>
      <c r="AH88" s="27" t="s">
        <v>50</v>
      </c>
      <c r="AI88" s="27" t="s">
        <v>50</v>
      </c>
      <c r="AJ88" s="80"/>
      <c r="AK88" s="55" t="s">
        <v>50</v>
      </c>
      <c r="AL88" s="2" t="s">
        <v>50</v>
      </c>
    </row>
    <row r="89" spans="1:37" ht="12.75" customHeight="1">
      <c r="A89" s="56"/>
      <c r="B89" s="28"/>
      <c r="C89" s="28"/>
      <c r="D89" s="29"/>
      <c r="E89" s="30" t="s">
        <v>50</v>
      </c>
      <c r="F89" s="30"/>
      <c r="G89" s="30"/>
      <c r="H89" s="30"/>
      <c r="I89" s="29"/>
      <c r="J89" s="29"/>
      <c r="K89" s="31"/>
      <c r="L89" s="31"/>
      <c r="M89" s="31"/>
      <c r="N89" s="31"/>
      <c r="O89" s="31"/>
      <c r="P89" s="30"/>
      <c r="Q89" s="30"/>
      <c r="R89" s="30"/>
      <c r="S89" s="30"/>
      <c r="T89" s="30"/>
      <c r="U89" s="30"/>
      <c r="V89" s="30"/>
      <c r="W89" s="30"/>
      <c r="X89" s="30"/>
      <c r="Y89" s="57"/>
      <c r="Z89" s="73"/>
      <c r="AA89" s="12"/>
      <c r="AB89" s="28"/>
      <c r="AC89" s="28"/>
      <c r="AD89" s="28"/>
      <c r="AE89" s="28"/>
      <c r="AF89" s="28"/>
      <c r="AG89" s="28"/>
      <c r="AH89" s="28"/>
      <c r="AI89" s="28"/>
      <c r="AJ89" s="80"/>
      <c r="AK89" s="57"/>
    </row>
    <row r="90" spans="1:38" ht="12.75" customHeight="1">
      <c r="A90" s="54">
        <v>54</v>
      </c>
      <c r="B90" s="17">
        <v>1183</v>
      </c>
      <c r="C90" s="17" t="s">
        <v>261</v>
      </c>
      <c r="D90" s="18">
        <v>1182.07</v>
      </c>
      <c r="E90" s="19" t="s">
        <v>262</v>
      </c>
      <c r="F90" s="19" t="s">
        <v>263</v>
      </c>
      <c r="G90" s="20">
        <v>4</v>
      </c>
      <c r="H90" s="20">
        <v>288</v>
      </c>
      <c r="I90" s="18">
        <f>ROUND(G90,0)</f>
        <v>4</v>
      </c>
      <c r="J90" s="18">
        <f>ROUND(H90,0)</f>
        <v>288</v>
      </c>
      <c r="K90" s="21" t="str">
        <f>IF(I90=J90,"TAM",(CONCATENATE(G90,"/",H90)))</f>
        <v>4/288</v>
      </c>
      <c r="L90" s="22">
        <f>1182.07*4/288</f>
        <v>16.417638888888888</v>
      </c>
      <c r="M90" s="23">
        <v>0</v>
      </c>
      <c r="N90" s="18" t="str">
        <f>IF(M90=0,"0",(O90*M90))</f>
        <v>0</v>
      </c>
      <c r="O90" s="18">
        <f>IF(W90=1,L90,((D90*G90/H90)-P90)/(1-V90)-S90-T90)</f>
        <v>16.417638888888888</v>
      </c>
      <c r="P90" s="18">
        <v>0</v>
      </c>
      <c r="Q90" s="18">
        <f>IF(U90=0,"0",O90*U90)</f>
        <v>4.839334156366982</v>
      </c>
      <c r="R90" s="24">
        <f>IF(U90=0,(((D90*G90/H90)-P90-S90-T90)/(1-V90)),(((D90*G90/H90)-P90-S90-T90)/(1-V90))-((D90*G90/H90)-P90-S90-T90)*U90/(1-V90))</f>
        <v>11.578304732521907</v>
      </c>
      <c r="S90" s="20">
        <v>0</v>
      </c>
      <c r="T90" s="20">
        <v>0</v>
      </c>
      <c r="U90" s="20">
        <v>0.294764319590568</v>
      </c>
      <c r="V90" s="20">
        <v>0</v>
      </c>
      <c r="W90" s="25">
        <f>IF(V90&gt;U90,1,V90)</f>
        <v>0</v>
      </c>
      <c r="X90" s="20">
        <v>1</v>
      </c>
      <c r="Y90" s="66">
        <v>0</v>
      </c>
      <c r="Z90" s="72" t="str">
        <f>IF(OR(W90=1,W90=0),"0",(Q90-N90))</f>
        <v>0</v>
      </c>
      <c r="AA90" s="67" t="s">
        <v>264</v>
      </c>
      <c r="AB90" s="18" t="s">
        <v>265</v>
      </c>
      <c r="AC90" s="18">
        <v>11.57</v>
      </c>
      <c r="AD90" s="18">
        <v>950.36</v>
      </c>
      <c r="AE90" s="18">
        <f>ROUND(AC90*100,0)</f>
        <v>1157</v>
      </c>
      <c r="AF90" s="18">
        <f>ROUND(AD90*100,0)</f>
        <v>95036</v>
      </c>
      <c r="AG90" s="26" t="str">
        <f>IF(AC90=AD90,"TAM",(CONCATENATE(AE90,"/",AF90)))</f>
        <v>1157/95036</v>
      </c>
      <c r="AH90" s="27" t="s">
        <v>50</v>
      </c>
      <c r="AI90" s="27" t="s">
        <v>50</v>
      </c>
      <c r="AJ90" s="80"/>
      <c r="AK90" s="55" t="s">
        <v>50</v>
      </c>
      <c r="AL90" s="2" t="s">
        <v>50</v>
      </c>
    </row>
    <row r="91" spans="1:37" ht="12.75" customHeight="1">
      <c r="A91" s="56"/>
      <c r="B91" s="28"/>
      <c r="C91" s="28"/>
      <c r="D91" s="29"/>
      <c r="E91" s="30" t="s">
        <v>50</v>
      </c>
      <c r="F91" s="30"/>
      <c r="G91" s="30"/>
      <c r="H91" s="30"/>
      <c r="I91" s="29"/>
      <c r="J91" s="29"/>
      <c r="K91" s="31"/>
      <c r="L91" s="31"/>
      <c r="M91" s="31"/>
      <c r="N91" s="31"/>
      <c r="O91" s="31"/>
      <c r="P91" s="30"/>
      <c r="Q91" s="30"/>
      <c r="R91" s="30"/>
      <c r="S91" s="30"/>
      <c r="T91" s="30"/>
      <c r="U91" s="30"/>
      <c r="V91" s="30"/>
      <c r="W91" s="30"/>
      <c r="X91" s="30"/>
      <c r="Y91" s="57"/>
      <c r="Z91" s="73"/>
      <c r="AA91" s="12"/>
      <c r="AB91" s="28"/>
      <c r="AC91" s="28"/>
      <c r="AD91" s="28"/>
      <c r="AE91" s="28"/>
      <c r="AF91" s="28"/>
      <c r="AG91" s="28"/>
      <c r="AH91" s="28"/>
      <c r="AI91" s="28"/>
      <c r="AJ91" s="80"/>
      <c r="AK91" s="57"/>
    </row>
    <row r="92" spans="1:38" ht="12.75" customHeight="1">
      <c r="A92" s="54">
        <v>48</v>
      </c>
      <c r="B92" s="17">
        <v>1183</v>
      </c>
      <c r="C92" s="17" t="s">
        <v>266</v>
      </c>
      <c r="D92" s="18">
        <v>1182.07</v>
      </c>
      <c r="E92" s="19" t="s">
        <v>267</v>
      </c>
      <c r="F92" s="19" t="s">
        <v>268</v>
      </c>
      <c r="G92" s="20">
        <v>36</v>
      </c>
      <c r="H92" s="20">
        <v>288</v>
      </c>
      <c r="I92" s="18">
        <f>ROUND(G92,0)</f>
        <v>36</v>
      </c>
      <c r="J92" s="18">
        <f>ROUND(H92,0)</f>
        <v>288</v>
      </c>
      <c r="K92" s="21" t="str">
        <f>IF(I92=J92,"TAM",(CONCATENATE(G92,"/",H92)))</f>
        <v>36/288</v>
      </c>
      <c r="L92" s="22">
        <f>1182.07*36/288</f>
        <v>147.75875</v>
      </c>
      <c r="M92" s="23">
        <v>0</v>
      </c>
      <c r="N92" s="18" t="str">
        <f>IF(M92=0,"0",(O92*M92))</f>
        <v>0</v>
      </c>
      <c r="O92" s="18">
        <f>IF(W92=1,L92,((D92*G92/H92)-P92)/(1-V92)-S92-T92)</f>
        <v>147.75875</v>
      </c>
      <c r="P92" s="18">
        <v>0</v>
      </c>
      <c r="Q92" s="18">
        <f>IF(U92=0,"0",O92*U92)</f>
        <v>43.554007407302834</v>
      </c>
      <c r="R92" s="24">
        <f>IF(U92=0,(((D92*G92/H92)-P92-S92-T92)/(1-V92)),(((D92*G92/H92)-P92-S92-T92)/(1-V92))-((D92*G92/H92)-P92-S92-T92)*U92/(1-V92))</f>
        <v>104.20474259269716</v>
      </c>
      <c r="S92" s="20">
        <v>0</v>
      </c>
      <c r="T92" s="20">
        <v>0</v>
      </c>
      <c r="U92" s="20">
        <v>0.294764319590568</v>
      </c>
      <c r="V92" s="20">
        <v>0</v>
      </c>
      <c r="W92" s="25">
        <f>IF(V92&gt;U92,1,V92)</f>
        <v>0</v>
      </c>
      <c r="X92" s="20">
        <v>1</v>
      </c>
      <c r="Y92" s="66">
        <v>0</v>
      </c>
      <c r="Z92" s="72" t="str">
        <f>IF(OR(W92=1,W92=0),"0",(Q92-N92))</f>
        <v>0</v>
      </c>
      <c r="AA92" s="67" t="s">
        <v>269</v>
      </c>
      <c r="AB92" s="18" t="s">
        <v>270</v>
      </c>
      <c r="AC92" s="18">
        <v>104.21</v>
      </c>
      <c r="AD92" s="18">
        <v>950.36</v>
      </c>
      <c r="AE92" s="18">
        <f>ROUND(AC92*100,0)</f>
        <v>10421</v>
      </c>
      <c r="AF92" s="18">
        <f>ROUND(AD92*100,0)</f>
        <v>95036</v>
      </c>
      <c r="AG92" s="26" t="str">
        <f>IF(AC92=AD92,"TAM",(CONCATENATE(AE92,"/",AF92)))</f>
        <v>10421/95036</v>
      </c>
      <c r="AH92" s="27" t="s">
        <v>50</v>
      </c>
      <c r="AI92" s="27" t="s">
        <v>50</v>
      </c>
      <c r="AJ92" s="80"/>
      <c r="AK92" s="55" t="s">
        <v>50</v>
      </c>
      <c r="AL92" s="2" t="s">
        <v>50</v>
      </c>
    </row>
    <row r="93" spans="1:37" ht="12.75" customHeight="1">
      <c r="A93" s="56"/>
      <c r="B93" s="28"/>
      <c r="C93" s="28"/>
      <c r="D93" s="29"/>
      <c r="E93" s="30" t="s">
        <v>50</v>
      </c>
      <c r="F93" s="30"/>
      <c r="G93" s="30"/>
      <c r="H93" s="30"/>
      <c r="I93" s="29"/>
      <c r="J93" s="29"/>
      <c r="K93" s="31"/>
      <c r="L93" s="31"/>
      <c r="M93" s="31"/>
      <c r="N93" s="31"/>
      <c r="O93" s="31"/>
      <c r="P93" s="30"/>
      <c r="Q93" s="30"/>
      <c r="R93" s="30"/>
      <c r="S93" s="30"/>
      <c r="T93" s="30"/>
      <c r="U93" s="30"/>
      <c r="V93" s="30"/>
      <c r="W93" s="30"/>
      <c r="X93" s="30"/>
      <c r="Y93" s="57"/>
      <c r="Z93" s="73"/>
      <c r="AA93" s="12"/>
      <c r="AB93" s="28"/>
      <c r="AC93" s="28"/>
      <c r="AD93" s="28"/>
      <c r="AE93" s="28"/>
      <c r="AF93" s="28"/>
      <c r="AG93" s="28"/>
      <c r="AH93" s="28"/>
      <c r="AI93" s="28"/>
      <c r="AJ93" s="80"/>
      <c r="AK93" s="57"/>
    </row>
    <row r="94" spans="1:38" ht="12.75" customHeight="1">
      <c r="A94" s="54">
        <v>58</v>
      </c>
      <c r="B94" s="17">
        <v>1183</v>
      </c>
      <c r="C94" s="17" t="s">
        <v>271</v>
      </c>
      <c r="D94" s="18">
        <v>1182.07</v>
      </c>
      <c r="E94" s="19" t="s">
        <v>272</v>
      </c>
      <c r="F94" s="19" t="s">
        <v>273</v>
      </c>
      <c r="G94" s="20">
        <v>3</v>
      </c>
      <c r="H94" s="20">
        <v>288</v>
      </c>
      <c r="I94" s="18">
        <f>ROUND(G94,0)</f>
        <v>3</v>
      </c>
      <c r="J94" s="18">
        <f>ROUND(H94,0)</f>
        <v>288</v>
      </c>
      <c r="K94" s="21" t="str">
        <f>IF(I94=J94,"TAM",(CONCATENATE(G94,"/",H94)))</f>
        <v>3/288</v>
      </c>
      <c r="L94" s="22">
        <f>1182.07*3/288</f>
        <v>12.313229166666666</v>
      </c>
      <c r="M94" s="23">
        <v>0</v>
      </c>
      <c r="N94" s="18" t="str">
        <f>IF(M94=0,"0",(O94*M94))</f>
        <v>0</v>
      </c>
      <c r="O94" s="18">
        <f>IF(W94=1,L94,((D94*G94/H94)-P94)/(1-V94)-S94-T94)</f>
        <v>12.313229166666666</v>
      </c>
      <c r="P94" s="18">
        <v>0</v>
      </c>
      <c r="Q94" s="18">
        <f>IF(U94=0,"0",O94*U94)</f>
        <v>3.629500617275236</v>
      </c>
      <c r="R94" s="24">
        <f>IF(U94=0,(((D94*G94/H94)-P94-S94-T94)/(1-V94)),(((D94*G94/H94)-P94-S94-T94)/(1-V94))-((D94*G94/H94)-P94-S94-T94)*U94/(1-V94))</f>
        <v>8.68372854939143</v>
      </c>
      <c r="S94" s="20">
        <v>0</v>
      </c>
      <c r="T94" s="20">
        <v>0</v>
      </c>
      <c r="U94" s="20">
        <v>0.294764319590568</v>
      </c>
      <c r="V94" s="20">
        <v>0</v>
      </c>
      <c r="W94" s="25">
        <f>IF(V94&gt;U94,1,V94)</f>
        <v>0</v>
      </c>
      <c r="X94" s="20">
        <v>1</v>
      </c>
      <c r="Y94" s="66">
        <v>0</v>
      </c>
      <c r="Z94" s="72" t="str">
        <f>IF(OR(W94=1,W94=0),"0",(Q94-N94))</f>
        <v>0</v>
      </c>
      <c r="AA94" s="67" t="s">
        <v>274</v>
      </c>
      <c r="AB94" s="18" t="s">
        <v>275</v>
      </c>
      <c r="AC94" s="18">
        <v>8.68</v>
      </c>
      <c r="AD94" s="18">
        <v>950.36</v>
      </c>
      <c r="AE94" s="18">
        <f>ROUND(AC94*100,0)</f>
        <v>868</v>
      </c>
      <c r="AF94" s="18">
        <f>ROUND(AD94*100,0)</f>
        <v>95036</v>
      </c>
      <c r="AG94" s="26" t="str">
        <f>IF(AC94=AD94,"TAM",(CONCATENATE(AE94,"/",AF94)))</f>
        <v>868/95036</v>
      </c>
      <c r="AH94" s="27" t="s">
        <v>50</v>
      </c>
      <c r="AI94" s="27" t="s">
        <v>50</v>
      </c>
      <c r="AJ94" s="80"/>
      <c r="AK94" s="55" t="s">
        <v>50</v>
      </c>
      <c r="AL94" s="2" t="s">
        <v>50</v>
      </c>
    </row>
    <row r="95" spans="1:37" ht="12.75" customHeight="1">
      <c r="A95" s="56"/>
      <c r="B95" s="28"/>
      <c r="C95" s="28"/>
      <c r="D95" s="29"/>
      <c r="E95" s="30" t="s">
        <v>50</v>
      </c>
      <c r="F95" s="30"/>
      <c r="G95" s="30"/>
      <c r="H95" s="30"/>
      <c r="I95" s="29"/>
      <c r="J95" s="29"/>
      <c r="K95" s="31"/>
      <c r="L95" s="31"/>
      <c r="M95" s="31"/>
      <c r="N95" s="31"/>
      <c r="O95" s="31"/>
      <c r="P95" s="30"/>
      <c r="Q95" s="30"/>
      <c r="R95" s="30"/>
      <c r="S95" s="30"/>
      <c r="T95" s="30"/>
      <c r="U95" s="30"/>
      <c r="V95" s="30"/>
      <c r="W95" s="30"/>
      <c r="X95" s="30"/>
      <c r="Y95" s="57"/>
      <c r="Z95" s="73"/>
      <c r="AA95" s="12"/>
      <c r="AB95" s="28"/>
      <c r="AC95" s="28"/>
      <c r="AD95" s="28"/>
      <c r="AE95" s="28"/>
      <c r="AF95" s="28"/>
      <c r="AG95" s="28"/>
      <c r="AH95" s="28"/>
      <c r="AI95" s="28"/>
      <c r="AJ95" s="80"/>
      <c r="AK95" s="57"/>
    </row>
    <row r="96" spans="1:38" ht="12.75" customHeight="1">
      <c r="A96" s="54">
        <v>63</v>
      </c>
      <c r="B96" s="17">
        <v>1183</v>
      </c>
      <c r="C96" s="17" t="s">
        <v>276</v>
      </c>
      <c r="D96" s="18">
        <v>1182.07</v>
      </c>
      <c r="E96" s="19" t="s">
        <v>277</v>
      </c>
      <c r="F96" s="19" t="s">
        <v>278</v>
      </c>
      <c r="G96" s="20">
        <v>3</v>
      </c>
      <c r="H96" s="20">
        <v>288</v>
      </c>
      <c r="I96" s="18">
        <f>ROUND(G96,0)</f>
        <v>3</v>
      </c>
      <c r="J96" s="18">
        <f>ROUND(H96,0)</f>
        <v>288</v>
      </c>
      <c r="K96" s="21" t="str">
        <f>IF(I96=J96,"TAM",(CONCATENATE(G96,"/",H96)))</f>
        <v>3/288</v>
      </c>
      <c r="L96" s="22">
        <f>1182.07*3/288</f>
        <v>12.313229166666666</v>
      </c>
      <c r="M96" s="23">
        <v>0</v>
      </c>
      <c r="N96" s="18" t="str">
        <f>IF(M96=0,"0",(O96*M96))</f>
        <v>0</v>
      </c>
      <c r="O96" s="18">
        <f>IF(W96=1,L96,((D96*G96/H96)-P96)/(1-V96)-S96-T96)</f>
        <v>12.313229166666666</v>
      </c>
      <c r="P96" s="18">
        <v>0</v>
      </c>
      <c r="Q96" s="18">
        <f>IF(U96=0,"0",O96*U96)</f>
        <v>3.629500617275236</v>
      </c>
      <c r="R96" s="24">
        <f>IF(U96=0,(((D96*G96/H96)-P96-S96-T96)/(1-V96)),(((D96*G96/H96)-P96-S96-T96)/(1-V96))-((D96*G96/H96)-P96-S96-T96)*U96/(1-V96))</f>
        <v>8.68372854939143</v>
      </c>
      <c r="S96" s="20">
        <v>0</v>
      </c>
      <c r="T96" s="20">
        <v>0</v>
      </c>
      <c r="U96" s="20">
        <v>0.294764319590568</v>
      </c>
      <c r="V96" s="20">
        <v>0</v>
      </c>
      <c r="W96" s="25">
        <f>IF(V96&gt;U96,1,V96)</f>
        <v>0</v>
      </c>
      <c r="X96" s="20">
        <v>1</v>
      </c>
      <c r="Y96" s="66">
        <v>0</v>
      </c>
      <c r="Z96" s="72" t="str">
        <f>IF(OR(W96=1,W96=0),"0",(Q96-N96))</f>
        <v>0</v>
      </c>
      <c r="AA96" s="67" t="s">
        <v>279</v>
      </c>
      <c r="AB96" s="18" t="s">
        <v>280</v>
      </c>
      <c r="AC96" s="18">
        <v>8.68</v>
      </c>
      <c r="AD96" s="18">
        <v>950.36</v>
      </c>
      <c r="AE96" s="18">
        <f>ROUND(AC96*100,0)</f>
        <v>868</v>
      </c>
      <c r="AF96" s="18">
        <f>ROUND(AD96*100,0)</f>
        <v>95036</v>
      </c>
      <c r="AG96" s="26" t="str">
        <f>IF(AC96=AD96,"TAM",(CONCATENATE(AE96,"/",AF96)))</f>
        <v>868/95036</v>
      </c>
      <c r="AH96" s="27" t="s">
        <v>50</v>
      </c>
      <c r="AI96" s="27" t="s">
        <v>50</v>
      </c>
      <c r="AJ96" s="80"/>
      <c r="AK96" s="55" t="s">
        <v>50</v>
      </c>
      <c r="AL96" s="2" t="s">
        <v>50</v>
      </c>
    </row>
    <row r="97" spans="1:37" ht="12.75" customHeight="1">
      <c r="A97" s="56"/>
      <c r="B97" s="28"/>
      <c r="C97" s="28"/>
      <c r="D97" s="29"/>
      <c r="E97" s="30" t="s">
        <v>50</v>
      </c>
      <c r="F97" s="30"/>
      <c r="G97" s="30"/>
      <c r="H97" s="30"/>
      <c r="I97" s="29"/>
      <c r="J97" s="29"/>
      <c r="K97" s="31"/>
      <c r="L97" s="31"/>
      <c r="M97" s="31"/>
      <c r="N97" s="31"/>
      <c r="O97" s="31"/>
      <c r="P97" s="30"/>
      <c r="Q97" s="30"/>
      <c r="R97" s="30"/>
      <c r="S97" s="30"/>
      <c r="T97" s="30"/>
      <c r="U97" s="30"/>
      <c r="V97" s="30"/>
      <c r="W97" s="30"/>
      <c r="X97" s="30"/>
      <c r="Y97" s="57"/>
      <c r="Z97" s="73"/>
      <c r="AA97" s="12"/>
      <c r="AB97" s="28"/>
      <c r="AC97" s="28"/>
      <c r="AD97" s="28"/>
      <c r="AE97" s="28"/>
      <c r="AF97" s="28"/>
      <c r="AG97" s="28"/>
      <c r="AH97" s="28"/>
      <c r="AI97" s="28"/>
      <c r="AJ97" s="80"/>
      <c r="AK97" s="57"/>
    </row>
    <row r="98" spans="1:38" ht="12.75" customHeight="1">
      <c r="A98" s="54">
        <v>47</v>
      </c>
      <c r="B98" s="17">
        <v>1183</v>
      </c>
      <c r="C98" s="17" t="s">
        <v>281</v>
      </c>
      <c r="D98" s="18">
        <v>1182.07</v>
      </c>
      <c r="E98" s="19" t="s">
        <v>282</v>
      </c>
      <c r="F98" s="19" t="s">
        <v>283</v>
      </c>
      <c r="G98" s="20">
        <v>3</v>
      </c>
      <c r="H98" s="20">
        <v>288</v>
      </c>
      <c r="I98" s="18">
        <f>ROUND(G98,0)</f>
        <v>3</v>
      </c>
      <c r="J98" s="18">
        <f>ROUND(H98,0)</f>
        <v>288</v>
      </c>
      <c r="K98" s="21" t="str">
        <f>IF(I98=J98,"TAM",(CONCATENATE(G98,"/",H98)))</f>
        <v>3/288</v>
      </c>
      <c r="L98" s="22">
        <f>1182.07*3/288</f>
        <v>12.313229166666666</v>
      </c>
      <c r="M98" s="23">
        <v>0</v>
      </c>
      <c r="N98" s="18" t="str">
        <f>IF(M98=0,"0",(O98*M98))</f>
        <v>0</v>
      </c>
      <c r="O98" s="18">
        <f>IF(W98=1,L98,((D98*G98/H98)-P98)/(1-V98)-S98-T98)</f>
        <v>12.313229166666666</v>
      </c>
      <c r="P98" s="18">
        <v>0</v>
      </c>
      <c r="Q98" s="18">
        <f>IF(U98=0,"0",O98*U98)</f>
        <v>3.629500617275236</v>
      </c>
      <c r="R98" s="24">
        <f>IF(U98=0,(((D98*G98/H98)-P98-S98-T98)/(1-V98)),(((D98*G98/H98)-P98-S98-T98)/(1-V98))-((D98*G98/H98)-P98-S98-T98)*U98/(1-V98))</f>
        <v>8.68372854939143</v>
      </c>
      <c r="S98" s="20">
        <v>0</v>
      </c>
      <c r="T98" s="20">
        <v>0</v>
      </c>
      <c r="U98" s="20">
        <v>0.294764319590568</v>
      </c>
      <c r="V98" s="20">
        <v>0</v>
      </c>
      <c r="W98" s="25">
        <f>IF(V98&gt;U98,1,V98)</f>
        <v>0</v>
      </c>
      <c r="X98" s="20">
        <v>1</v>
      </c>
      <c r="Y98" s="66">
        <v>0</v>
      </c>
      <c r="Z98" s="72" t="str">
        <f>IF(OR(W98=1,W98=0),"0",(Q98-N98))</f>
        <v>0</v>
      </c>
      <c r="AA98" s="67" t="s">
        <v>284</v>
      </c>
      <c r="AB98" s="18" t="s">
        <v>285</v>
      </c>
      <c r="AC98" s="18">
        <v>8.69</v>
      </c>
      <c r="AD98" s="18">
        <v>950.36</v>
      </c>
      <c r="AE98" s="18">
        <f>ROUND(AC98*100,0)</f>
        <v>869</v>
      </c>
      <c r="AF98" s="18">
        <f>ROUND(AD98*100,0)</f>
        <v>95036</v>
      </c>
      <c r="AG98" s="26" t="str">
        <f>IF(AC98=AD98,"TAM",(CONCATENATE(AE98,"/",AF98)))</f>
        <v>869/95036</v>
      </c>
      <c r="AH98" s="27" t="s">
        <v>50</v>
      </c>
      <c r="AI98" s="27" t="s">
        <v>50</v>
      </c>
      <c r="AJ98" s="80"/>
      <c r="AK98" s="55" t="s">
        <v>50</v>
      </c>
      <c r="AL98" s="2" t="s">
        <v>50</v>
      </c>
    </row>
    <row r="99" spans="1:37" ht="12.75" customHeight="1">
      <c r="A99" s="56"/>
      <c r="B99" s="28"/>
      <c r="C99" s="28"/>
      <c r="D99" s="29"/>
      <c r="E99" s="30" t="s">
        <v>50</v>
      </c>
      <c r="F99" s="30"/>
      <c r="G99" s="30"/>
      <c r="H99" s="30"/>
      <c r="I99" s="29"/>
      <c r="J99" s="29"/>
      <c r="K99" s="31"/>
      <c r="L99" s="31"/>
      <c r="M99" s="31"/>
      <c r="N99" s="31"/>
      <c r="O99" s="31"/>
      <c r="P99" s="30"/>
      <c r="Q99" s="30"/>
      <c r="R99" s="30"/>
      <c r="S99" s="30"/>
      <c r="T99" s="30"/>
      <c r="U99" s="30"/>
      <c r="V99" s="30"/>
      <c r="W99" s="30"/>
      <c r="X99" s="30"/>
      <c r="Y99" s="57"/>
      <c r="Z99" s="73"/>
      <c r="AA99" s="12"/>
      <c r="AB99" s="28"/>
      <c r="AC99" s="28"/>
      <c r="AD99" s="28"/>
      <c r="AE99" s="28"/>
      <c r="AF99" s="28"/>
      <c r="AG99" s="28"/>
      <c r="AH99" s="28"/>
      <c r="AI99" s="28"/>
      <c r="AJ99" s="80"/>
      <c r="AK99" s="57"/>
    </row>
    <row r="100" spans="1:38" ht="12.75" customHeight="1">
      <c r="A100" s="54">
        <v>53</v>
      </c>
      <c r="B100" s="17">
        <v>1183</v>
      </c>
      <c r="C100" s="17" t="s">
        <v>286</v>
      </c>
      <c r="D100" s="18">
        <v>1182.07</v>
      </c>
      <c r="E100" s="19" t="s">
        <v>287</v>
      </c>
      <c r="F100" s="19" t="s">
        <v>288</v>
      </c>
      <c r="G100" s="20">
        <v>4</v>
      </c>
      <c r="H100" s="20">
        <v>288</v>
      </c>
      <c r="I100" s="18">
        <f>ROUND(G100,0)</f>
        <v>4</v>
      </c>
      <c r="J100" s="18">
        <f>ROUND(H100,0)</f>
        <v>288</v>
      </c>
      <c r="K100" s="21" t="str">
        <f>IF(I100=J100,"TAM",(CONCATENATE(G100,"/",H100)))</f>
        <v>4/288</v>
      </c>
      <c r="L100" s="22">
        <f>1182.07*4/288</f>
        <v>16.417638888888888</v>
      </c>
      <c r="M100" s="23">
        <v>0</v>
      </c>
      <c r="N100" s="18" t="str">
        <f>IF(M100=0,"0",(O100*M100))</f>
        <v>0</v>
      </c>
      <c r="O100" s="18">
        <f>IF(W100=1,L100,((D100*G100/H100)-P100)/(1-V100)-S100-T100)</f>
        <v>16.417638888888888</v>
      </c>
      <c r="P100" s="18">
        <v>0</v>
      </c>
      <c r="Q100" s="18">
        <f>IF(U100=0,"0",O100*U100)</f>
        <v>4.839334156366982</v>
      </c>
      <c r="R100" s="24">
        <f>IF(U100=0,(((D100*G100/H100)-P100-S100-T100)/(1-V100)),(((D100*G100/H100)-P100-S100-T100)/(1-V100))-((D100*G100/H100)-P100-S100-T100)*U100/(1-V100))</f>
        <v>11.578304732521907</v>
      </c>
      <c r="S100" s="20">
        <v>0</v>
      </c>
      <c r="T100" s="20">
        <v>0</v>
      </c>
      <c r="U100" s="20">
        <v>0.294764319590568</v>
      </c>
      <c r="V100" s="20">
        <v>0</v>
      </c>
      <c r="W100" s="25">
        <f>IF(V100&gt;U100,1,V100)</f>
        <v>0</v>
      </c>
      <c r="X100" s="20">
        <v>1</v>
      </c>
      <c r="Y100" s="66">
        <v>0</v>
      </c>
      <c r="Z100" s="72" t="str">
        <f>IF(OR(W100=1,W100=0),"0",(Q100-N100))</f>
        <v>0</v>
      </c>
      <c r="AA100" s="67" t="s">
        <v>289</v>
      </c>
      <c r="AB100" s="18" t="s">
        <v>290</v>
      </c>
      <c r="AC100" s="18">
        <v>11.57</v>
      </c>
      <c r="AD100" s="18">
        <v>950.36</v>
      </c>
      <c r="AE100" s="18">
        <f>ROUND(AC100*100,0)</f>
        <v>1157</v>
      </c>
      <c r="AF100" s="18">
        <f>ROUND(AD100*100,0)</f>
        <v>95036</v>
      </c>
      <c r="AG100" s="26" t="str">
        <f>IF(AC100=AD100,"TAM",(CONCATENATE(AE100,"/",AF100)))</f>
        <v>1157/95036</v>
      </c>
      <c r="AH100" s="27" t="s">
        <v>50</v>
      </c>
      <c r="AI100" s="27" t="s">
        <v>50</v>
      </c>
      <c r="AJ100" s="80"/>
      <c r="AK100" s="55" t="s">
        <v>50</v>
      </c>
      <c r="AL100" s="2" t="s">
        <v>50</v>
      </c>
    </row>
    <row r="101" spans="1:37" ht="12.75" customHeight="1">
      <c r="A101" s="56"/>
      <c r="B101" s="28"/>
      <c r="C101" s="28"/>
      <c r="D101" s="29"/>
      <c r="E101" s="30" t="s">
        <v>50</v>
      </c>
      <c r="F101" s="30"/>
      <c r="G101" s="30"/>
      <c r="H101" s="30"/>
      <c r="I101" s="29"/>
      <c r="J101" s="29"/>
      <c r="K101" s="31"/>
      <c r="L101" s="31"/>
      <c r="M101" s="31"/>
      <c r="N101" s="31"/>
      <c r="O101" s="31"/>
      <c r="P101" s="30"/>
      <c r="Q101" s="30"/>
      <c r="R101" s="30"/>
      <c r="S101" s="30"/>
      <c r="T101" s="30"/>
      <c r="U101" s="30"/>
      <c r="V101" s="30"/>
      <c r="W101" s="30"/>
      <c r="X101" s="30"/>
      <c r="Y101" s="57"/>
      <c r="Z101" s="73"/>
      <c r="AA101" s="12"/>
      <c r="AB101" s="28"/>
      <c r="AC101" s="28"/>
      <c r="AD101" s="28"/>
      <c r="AE101" s="28"/>
      <c r="AF101" s="28"/>
      <c r="AG101" s="28"/>
      <c r="AH101" s="28"/>
      <c r="AI101" s="28"/>
      <c r="AJ101" s="80"/>
      <c r="AK101" s="57"/>
    </row>
    <row r="102" spans="1:38" ht="12.75" customHeight="1">
      <c r="A102" s="54">
        <v>50</v>
      </c>
      <c r="B102" s="17">
        <v>1183</v>
      </c>
      <c r="C102" s="17" t="s">
        <v>291</v>
      </c>
      <c r="D102" s="18">
        <v>1182.07</v>
      </c>
      <c r="E102" s="19" t="s">
        <v>292</v>
      </c>
      <c r="F102" s="19" t="s">
        <v>293</v>
      </c>
      <c r="G102" s="20">
        <v>4</v>
      </c>
      <c r="H102" s="20">
        <v>288</v>
      </c>
      <c r="I102" s="18">
        <f>ROUND(G102,0)</f>
        <v>4</v>
      </c>
      <c r="J102" s="18">
        <f>ROUND(H102,0)</f>
        <v>288</v>
      </c>
      <c r="K102" s="21" t="str">
        <f>IF(I102=J102,"TAM",(CONCATENATE(G102,"/",H102)))</f>
        <v>4/288</v>
      </c>
      <c r="L102" s="22">
        <f>1182.07*4/288</f>
        <v>16.417638888888888</v>
      </c>
      <c r="M102" s="23">
        <v>0</v>
      </c>
      <c r="N102" s="18" t="str">
        <f>IF(M102=0,"0",(O102*M102))</f>
        <v>0</v>
      </c>
      <c r="O102" s="18">
        <f>IF(W102=1,L102,((D102*G102/H102)-P102)/(1-V102)-S102-T102)</f>
        <v>16.417638888888888</v>
      </c>
      <c r="P102" s="18">
        <v>0</v>
      </c>
      <c r="Q102" s="18">
        <f>IF(U102=0,"0",O102*U102)</f>
        <v>4.839334156366982</v>
      </c>
      <c r="R102" s="24">
        <f>IF(U102=0,(((D102*G102/H102)-P102-S102-T102)/(1-V102)),(((D102*G102/H102)-P102-S102-T102)/(1-V102))-((D102*G102/H102)-P102-S102-T102)*U102/(1-V102))</f>
        <v>11.578304732521907</v>
      </c>
      <c r="S102" s="20">
        <v>0</v>
      </c>
      <c r="T102" s="20">
        <v>0</v>
      </c>
      <c r="U102" s="20">
        <v>0.294764319590568</v>
      </c>
      <c r="V102" s="20">
        <v>0</v>
      </c>
      <c r="W102" s="25">
        <f>IF(V102&gt;U102,1,V102)</f>
        <v>0</v>
      </c>
      <c r="X102" s="20">
        <v>1</v>
      </c>
      <c r="Y102" s="66">
        <v>0</v>
      </c>
      <c r="Z102" s="72" t="str">
        <f>IF(OR(W102=1,W102=0),"0",(Q102-N102))</f>
        <v>0</v>
      </c>
      <c r="AA102" s="67" t="s">
        <v>294</v>
      </c>
      <c r="AB102" s="18" t="s">
        <v>295</v>
      </c>
      <c r="AC102" s="18">
        <v>11.58</v>
      </c>
      <c r="AD102" s="18">
        <v>950.36</v>
      </c>
      <c r="AE102" s="18">
        <f>ROUND(AC102*100,0)</f>
        <v>1158</v>
      </c>
      <c r="AF102" s="18">
        <f>ROUND(AD102*100,0)</f>
        <v>95036</v>
      </c>
      <c r="AG102" s="26" t="str">
        <f>IF(AC102=AD102,"TAM",(CONCATENATE(AE102,"/",AF102)))</f>
        <v>1158/95036</v>
      </c>
      <c r="AH102" s="27" t="s">
        <v>50</v>
      </c>
      <c r="AI102" s="27" t="s">
        <v>50</v>
      </c>
      <c r="AJ102" s="80"/>
      <c r="AK102" s="55" t="s">
        <v>50</v>
      </c>
      <c r="AL102" s="2" t="s">
        <v>50</v>
      </c>
    </row>
    <row r="103" spans="1:37" ht="12.75" customHeight="1">
      <c r="A103" s="56"/>
      <c r="B103" s="28"/>
      <c r="C103" s="28"/>
      <c r="D103" s="29"/>
      <c r="E103" s="30" t="s">
        <v>50</v>
      </c>
      <c r="F103" s="30"/>
      <c r="G103" s="30"/>
      <c r="H103" s="30"/>
      <c r="I103" s="29"/>
      <c r="J103" s="29"/>
      <c r="K103" s="31"/>
      <c r="L103" s="31"/>
      <c r="M103" s="31"/>
      <c r="N103" s="31"/>
      <c r="O103" s="31"/>
      <c r="P103" s="30"/>
      <c r="Q103" s="30"/>
      <c r="R103" s="30"/>
      <c r="S103" s="30"/>
      <c r="T103" s="30"/>
      <c r="U103" s="30"/>
      <c r="V103" s="30"/>
      <c r="W103" s="30"/>
      <c r="X103" s="30"/>
      <c r="Y103" s="57"/>
      <c r="Z103" s="73"/>
      <c r="AA103" s="12"/>
      <c r="AB103" s="28"/>
      <c r="AC103" s="28"/>
      <c r="AD103" s="28"/>
      <c r="AE103" s="28"/>
      <c r="AF103" s="28"/>
      <c r="AG103" s="28"/>
      <c r="AH103" s="28"/>
      <c r="AI103" s="28"/>
      <c r="AJ103" s="80"/>
      <c r="AK103" s="57"/>
    </row>
    <row r="104" spans="1:38" ht="12.75" customHeight="1">
      <c r="A104" s="54">
        <v>43</v>
      </c>
      <c r="B104" s="17">
        <v>1183</v>
      </c>
      <c r="C104" s="17" t="s">
        <v>296</v>
      </c>
      <c r="D104" s="18">
        <v>1182.07</v>
      </c>
      <c r="E104" s="19" t="s">
        <v>297</v>
      </c>
      <c r="F104" s="19" t="s">
        <v>298</v>
      </c>
      <c r="G104" s="20">
        <v>36</v>
      </c>
      <c r="H104" s="20">
        <v>288</v>
      </c>
      <c r="I104" s="18">
        <f>ROUND(G104,0)</f>
        <v>36</v>
      </c>
      <c r="J104" s="18">
        <f>ROUND(H104,0)</f>
        <v>288</v>
      </c>
      <c r="K104" s="21" t="str">
        <f>IF(I104=J104,"TAM",(CONCATENATE(G104,"/",H104)))</f>
        <v>36/288</v>
      </c>
      <c r="L104" s="22">
        <f>1182.07*36/288</f>
        <v>147.75875</v>
      </c>
      <c r="M104" s="23">
        <v>0</v>
      </c>
      <c r="N104" s="18" t="str">
        <f>IF(M104=0,"0",(O104*M104))</f>
        <v>0</v>
      </c>
      <c r="O104" s="18">
        <f>IF(W104=1,L104,((D104*G104/H104)-P104)/(1-V104)-S104-T104)</f>
        <v>147.75875</v>
      </c>
      <c r="P104" s="18">
        <v>0</v>
      </c>
      <c r="Q104" s="18">
        <f>IF(U104=0,"0",O104*U104)</f>
        <v>43.554007407302834</v>
      </c>
      <c r="R104" s="24">
        <f>IF(U104=0,(((D104*G104/H104)-P104-S104-T104)/(1-V104)),(((D104*G104/H104)-P104-S104-T104)/(1-V104))-((D104*G104/H104)-P104-S104-T104)*U104/(1-V104))</f>
        <v>104.20474259269716</v>
      </c>
      <c r="S104" s="20">
        <v>0</v>
      </c>
      <c r="T104" s="20">
        <v>0</v>
      </c>
      <c r="U104" s="20">
        <v>0.294764319590568</v>
      </c>
      <c r="V104" s="20">
        <v>0</v>
      </c>
      <c r="W104" s="25">
        <f>IF(V104&gt;U104,1,V104)</f>
        <v>0</v>
      </c>
      <c r="X104" s="20">
        <v>1</v>
      </c>
      <c r="Y104" s="66">
        <v>0</v>
      </c>
      <c r="Z104" s="72" t="str">
        <f>IF(OR(W104=1,W104=0),"0",(Q104-N104))</f>
        <v>0</v>
      </c>
      <c r="AA104" s="67" t="s">
        <v>299</v>
      </c>
      <c r="AB104" s="18" t="s">
        <v>300</v>
      </c>
      <c r="AC104" s="18">
        <v>104.21</v>
      </c>
      <c r="AD104" s="18">
        <v>950.36</v>
      </c>
      <c r="AE104" s="18">
        <f>ROUND(AC104*100,0)</f>
        <v>10421</v>
      </c>
      <c r="AF104" s="18">
        <f>ROUND(AD104*100,0)</f>
        <v>95036</v>
      </c>
      <c r="AG104" s="26" t="str">
        <f>IF(AC104=AD104,"TAM",(CONCATENATE(AE104,"/",AF104)))</f>
        <v>10421/95036</v>
      </c>
      <c r="AH104" s="27" t="s">
        <v>50</v>
      </c>
      <c r="AI104" s="27" t="s">
        <v>50</v>
      </c>
      <c r="AJ104" s="80"/>
      <c r="AK104" s="55" t="s">
        <v>50</v>
      </c>
      <c r="AL104" s="2" t="s">
        <v>50</v>
      </c>
    </row>
    <row r="105" spans="1:37" ht="12.75" customHeight="1">
      <c r="A105" s="56"/>
      <c r="B105" s="28"/>
      <c r="C105" s="28"/>
      <c r="D105" s="29"/>
      <c r="E105" s="30" t="s">
        <v>50</v>
      </c>
      <c r="F105" s="30"/>
      <c r="G105" s="30"/>
      <c r="H105" s="30"/>
      <c r="I105" s="29"/>
      <c r="J105" s="29"/>
      <c r="K105" s="31"/>
      <c r="L105" s="31"/>
      <c r="M105" s="31"/>
      <c r="N105" s="31"/>
      <c r="O105" s="31"/>
      <c r="P105" s="30"/>
      <c r="Q105" s="30"/>
      <c r="R105" s="30"/>
      <c r="S105" s="30"/>
      <c r="T105" s="30"/>
      <c r="U105" s="30"/>
      <c r="V105" s="30"/>
      <c r="W105" s="30"/>
      <c r="X105" s="30"/>
      <c r="Y105" s="57"/>
      <c r="Z105" s="73"/>
      <c r="AA105" s="12"/>
      <c r="AB105" s="28"/>
      <c r="AC105" s="28"/>
      <c r="AD105" s="28"/>
      <c r="AE105" s="28"/>
      <c r="AF105" s="28"/>
      <c r="AG105" s="28"/>
      <c r="AH105" s="28"/>
      <c r="AI105" s="28"/>
      <c r="AJ105" s="80"/>
      <c r="AK105" s="57"/>
    </row>
    <row r="106" spans="1:38" ht="12.75" customHeight="1">
      <c r="A106" s="54">
        <v>44</v>
      </c>
      <c r="B106" s="17">
        <v>1183</v>
      </c>
      <c r="C106" s="17" t="s">
        <v>301</v>
      </c>
      <c r="D106" s="18">
        <v>1182.07</v>
      </c>
      <c r="E106" s="19" t="s">
        <v>302</v>
      </c>
      <c r="F106" s="19" t="s">
        <v>303</v>
      </c>
      <c r="G106" s="20">
        <v>3</v>
      </c>
      <c r="H106" s="20">
        <v>288</v>
      </c>
      <c r="I106" s="18">
        <f>ROUND(G106,0)</f>
        <v>3</v>
      </c>
      <c r="J106" s="18">
        <f>ROUND(H106,0)</f>
        <v>288</v>
      </c>
      <c r="K106" s="21" t="str">
        <f>IF(I106=J106,"TAM",(CONCATENATE(G106,"/",H106)))</f>
        <v>3/288</v>
      </c>
      <c r="L106" s="22">
        <f>1182.07*3/288</f>
        <v>12.313229166666666</v>
      </c>
      <c r="M106" s="23">
        <v>0</v>
      </c>
      <c r="N106" s="18" t="str">
        <f>IF(M106=0,"0",(O106*M106))</f>
        <v>0</v>
      </c>
      <c r="O106" s="18">
        <f>IF(W106=1,L106,((D106*G106/H106)-P106)/(1-V106)-S106-T106)</f>
        <v>12.313229166666666</v>
      </c>
      <c r="P106" s="18">
        <v>0</v>
      </c>
      <c r="Q106" s="18">
        <f>IF(U106=0,"0",O106*U106)</f>
        <v>3.629500617275236</v>
      </c>
      <c r="R106" s="24">
        <f>IF(U106=0,(((D106*G106/H106)-P106-S106-T106)/(1-V106)),(((D106*G106/H106)-P106-S106-T106)/(1-V106))-((D106*G106/H106)-P106-S106-T106)*U106/(1-V106))</f>
        <v>8.68372854939143</v>
      </c>
      <c r="S106" s="20">
        <v>0</v>
      </c>
      <c r="T106" s="20">
        <v>0</v>
      </c>
      <c r="U106" s="20">
        <v>0.294764319590568</v>
      </c>
      <c r="V106" s="20">
        <v>0</v>
      </c>
      <c r="W106" s="25">
        <f>IF(V106&gt;U106,1,V106)</f>
        <v>0</v>
      </c>
      <c r="X106" s="20">
        <v>1</v>
      </c>
      <c r="Y106" s="66">
        <v>0</v>
      </c>
      <c r="Z106" s="72" t="str">
        <f>IF(OR(W106=1,W106=0),"0",(Q106-N106))</f>
        <v>0</v>
      </c>
      <c r="AA106" s="67" t="s">
        <v>304</v>
      </c>
      <c r="AB106" s="18" t="s">
        <v>305</v>
      </c>
      <c r="AC106" s="18">
        <v>8.69</v>
      </c>
      <c r="AD106" s="18">
        <v>950.36</v>
      </c>
      <c r="AE106" s="18">
        <f>ROUND(AC106*100,0)</f>
        <v>869</v>
      </c>
      <c r="AF106" s="18">
        <f>ROUND(AD106*100,0)</f>
        <v>95036</v>
      </c>
      <c r="AG106" s="26" t="str">
        <f>IF(AC106=AD106,"TAM",(CONCATENATE(AE106,"/",AF106)))</f>
        <v>869/95036</v>
      </c>
      <c r="AH106" s="27" t="s">
        <v>50</v>
      </c>
      <c r="AI106" s="27" t="s">
        <v>50</v>
      </c>
      <c r="AJ106" s="80"/>
      <c r="AK106" s="55" t="s">
        <v>50</v>
      </c>
      <c r="AL106" s="2" t="s">
        <v>50</v>
      </c>
    </row>
    <row r="107" spans="1:37" ht="12.75" customHeight="1">
      <c r="A107" s="56"/>
      <c r="B107" s="28"/>
      <c r="C107" s="28"/>
      <c r="D107" s="29"/>
      <c r="E107" s="30" t="s">
        <v>50</v>
      </c>
      <c r="F107" s="30"/>
      <c r="G107" s="30"/>
      <c r="H107" s="30"/>
      <c r="I107" s="29"/>
      <c r="J107" s="29"/>
      <c r="K107" s="31"/>
      <c r="L107" s="31"/>
      <c r="M107" s="31"/>
      <c r="N107" s="31"/>
      <c r="O107" s="31"/>
      <c r="P107" s="30"/>
      <c r="Q107" s="30"/>
      <c r="R107" s="30"/>
      <c r="S107" s="30"/>
      <c r="T107" s="30"/>
      <c r="U107" s="30"/>
      <c r="V107" s="30"/>
      <c r="W107" s="30"/>
      <c r="X107" s="30"/>
      <c r="Y107" s="57"/>
      <c r="Z107" s="73"/>
      <c r="AA107" s="12"/>
      <c r="AB107" s="28"/>
      <c r="AC107" s="28"/>
      <c r="AD107" s="28"/>
      <c r="AE107" s="28"/>
      <c r="AF107" s="28"/>
      <c r="AG107" s="28"/>
      <c r="AH107" s="28"/>
      <c r="AI107" s="28"/>
      <c r="AJ107" s="80"/>
      <c r="AK107" s="57"/>
    </row>
    <row r="108" spans="1:38" ht="12.75" customHeight="1">
      <c r="A108" s="54">
        <v>51</v>
      </c>
      <c r="B108" s="17">
        <v>1183</v>
      </c>
      <c r="C108" s="17" t="s">
        <v>306</v>
      </c>
      <c r="D108" s="18">
        <v>1182.07</v>
      </c>
      <c r="E108" s="19" t="s">
        <v>307</v>
      </c>
      <c r="F108" s="19" t="s">
        <v>308</v>
      </c>
      <c r="G108" s="20">
        <v>4</v>
      </c>
      <c r="H108" s="20">
        <v>288</v>
      </c>
      <c r="I108" s="18">
        <f>ROUND(G108,0)</f>
        <v>4</v>
      </c>
      <c r="J108" s="18">
        <f>ROUND(H108,0)</f>
        <v>288</v>
      </c>
      <c r="K108" s="21" t="str">
        <f>IF(I108=J108,"TAM",(CONCATENATE(G108,"/",H108)))</f>
        <v>4/288</v>
      </c>
      <c r="L108" s="22">
        <f>1182.07*4/288</f>
        <v>16.417638888888888</v>
      </c>
      <c r="M108" s="23">
        <v>0</v>
      </c>
      <c r="N108" s="18" t="str">
        <f>IF(M108=0,"0",(O108*M108))</f>
        <v>0</v>
      </c>
      <c r="O108" s="18">
        <f>IF(W108=1,L108,((D108*G108/H108)-P108)/(1-V108)-S108-T108)</f>
        <v>16.417638888888888</v>
      </c>
      <c r="P108" s="18">
        <v>0</v>
      </c>
      <c r="Q108" s="18">
        <f>IF(U108=0,"0",O108*U108)</f>
        <v>4.839334156366982</v>
      </c>
      <c r="R108" s="24">
        <f>IF(U108=0,(((D108*G108/H108)-P108-S108-T108)/(1-V108)),(((D108*G108/H108)-P108-S108-T108)/(1-V108))-((D108*G108/H108)-P108-S108-T108)*U108/(1-V108))</f>
        <v>11.578304732521907</v>
      </c>
      <c r="S108" s="20">
        <v>0</v>
      </c>
      <c r="T108" s="20">
        <v>0</v>
      </c>
      <c r="U108" s="20">
        <v>0.294764319590568</v>
      </c>
      <c r="V108" s="20">
        <v>0</v>
      </c>
      <c r="W108" s="25">
        <f>IF(V108&gt;U108,1,V108)</f>
        <v>0</v>
      </c>
      <c r="X108" s="20">
        <v>1</v>
      </c>
      <c r="Y108" s="66">
        <v>0</v>
      </c>
      <c r="Z108" s="72" t="str">
        <f>IF(OR(W108=1,W108=0),"0",(Q108-N108))</f>
        <v>0</v>
      </c>
      <c r="AA108" s="67" t="s">
        <v>309</v>
      </c>
      <c r="AB108" s="18" t="s">
        <v>310</v>
      </c>
      <c r="AC108" s="18">
        <v>11.58</v>
      </c>
      <c r="AD108" s="18">
        <v>950.36</v>
      </c>
      <c r="AE108" s="18">
        <f>ROUND(AC108*100,0)</f>
        <v>1158</v>
      </c>
      <c r="AF108" s="18">
        <f>ROUND(AD108*100,0)</f>
        <v>95036</v>
      </c>
      <c r="AG108" s="26" t="str">
        <f>IF(AC108=AD108,"TAM",(CONCATENATE(AE108,"/",AF108)))</f>
        <v>1158/95036</v>
      </c>
      <c r="AH108" s="27" t="s">
        <v>50</v>
      </c>
      <c r="AI108" s="27" t="s">
        <v>50</v>
      </c>
      <c r="AJ108" s="80"/>
      <c r="AK108" s="55" t="s">
        <v>50</v>
      </c>
      <c r="AL108" s="2" t="s">
        <v>50</v>
      </c>
    </row>
    <row r="109" spans="1:37" ht="12.75" customHeight="1">
      <c r="A109" s="56"/>
      <c r="B109" s="28"/>
      <c r="C109" s="28"/>
      <c r="D109" s="29"/>
      <c r="E109" s="30" t="s">
        <v>50</v>
      </c>
      <c r="F109" s="30"/>
      <c r="G109" s="30"/>
      <c r="H109" s="30"/>
      <c r="I109" s="29"/>
      <c r="J109" s="29"/>
      <c r="K109" s="31"/>
      <c r="L109" s="31"/>
      <c r="M109" s="31"/>
      <c r="N109" s="31"/>
      <c r="O109" s="31"/>
      <c r="P109" s="30"/>
      <c r="Q109" s="30"/>
      <c r="R109" s="30"/>
      <c r="S109" s="30"/>
      <c r="T109" s="30"/>
      <c r="U109" s="30"/>
      <c r="V109" s="30"/>
      <c r="W109" s="30"/>
      <c r="X109" s="30"/>
      <c r="Y109" s="57"/>
      <c r="Z109" s="73"/>
      <c r="AA109" s="12"/>
      <c r="AB109" s="28"/>
      <c r="AC109" s="28"/>
      <c r="AD109" s="28"/>
      <c r="AE109" s="28"/>
      <c r="AF109" s="28"/>
      <c r="AG109" s="28"/>
      <c r="AH109" s="28"/>
      <c r="AI109" s="28"/>
      <c r="AJ109" s="80"/>
      <c r="AK109" s="57"/>
    </row>
    <row r="110" spans="1:38" ht="12.75" customHeight="1">
      <c r="A110" s="54">
        <v>46</v>
      </c>
      <c r="B110" s="17">
        <v>1183</v>
      </c>
      <c r="C110" s="17" t="s">
        <v>311</v>
      </c>
      <c r="D110" s="18">
        <v>1182.07</v>
      </c>
      <c r="E110" s="19" t="s">
        <v>312</v>
      </c>
      <c r="F110" s="19" t="s">
        <v>313</v>
      </c>
      <c r="G110" s="20">
        <v>3</v>
      </c>
      <c r="H110" s="20">
        <v>288</v>
      </c>
      <c r="I110" s="18">
        <f>ROUND(G110,0)</f>
        <v>3</v>
      </c>
      <c r="J110" s="18">
        <f>ROUND(H110,0)</f>
        <v>288</v>
      </c>
      <c r="K110" s="21" t="str">
        <f>IF(I110=J110,"TAM",(CONCATENATE(G110,"/",H110)))</f>
        <v>3/288</v>
      </c>
      <c r="L110" s="22">
        <f>1182.07*3/288</f>
        <v>12.313229166666666</v>
      </c>
      <c r="M110" s="23">
        <v>0</v>
      </c>
      <c r="N110" s="18" t="str">
        <f>IF(M110=0,"0",(O110*M110))</f>
        <v>0</v>
      </c>
      <c r="O110" s="18">
        <f>IF(W110=1,L110,((D110*G110/H110)-P110)/(1-V110)-S110-T110)</f>
        <v>12.313229166666666</v>
      </c>
      <c r="P110" s="18">
        <v>0</v>
      </c>
      <c r="Q110" s="18">
        <f>IF(U110=0,"0",O110*U110)</f>
        <v>3.629500617275236</v>
      </c>
      <c r="R110" s="24">
        <f>IF(U110=0,(((D110*G110/H110)-P110-S110-T110)/(1-V110)),(((D110*G110/H110)-P110-S110-T110)/(1-V110))-((D110*G110/H110)-P110-S110-T110)*U110/(1-V110))</f>
        <v>8.68372854939143</v>
      </c>
      <c r="S110" s="20">
        <v>0</v>
      </c>
      <c r="T110" s="20">
        <v>0</v>
      </c>
      <c r="U110" s="20">
        <v>0.294764319590568</v>
      </c>
      <c r="V110" s="20">
        <v>0</v>
      </c>
      <c r="W110" s="25">
        <f>IF(V110&gt;U110,1,V110)</f>
        <v>0</v>
      </c>
      <c r="X110" s="20">
        <v>1</v>
      </c>
      <c r="Y110" s="66">
        <v>0</v>
      </c>
      <c r="Z110" s="72" t="str">
        <f>IF(OR(W110=1,W110=0),"0",(Q110-N110))</f>
        <v>0</v>
      </c>
      <c r="AA110" s="67" t="s">
        <v>314</v>
      </c>
      <c r="AB110" s="18" t="s">
        <v>315</v>
      </c>
      <c r="AC110" s="18">
        <v>8.69</v>
      </c>
      <c r="AD110" s="18">
        <v>950.36</v>
      </c>
      <c r="AE110" s="18">
        <f>ROUND(AC110*100,0)</f>
        <v>869</v>
      </c>
      <c r="AF110" s="18">
        <f>ROUND(AD110*100,0)</f>
        <v>95036</v>
      </c>
      <c r="AG110" s="26" t="str">
        <f>IF(AC110=AD110,"TAM",(CONCATENATE(AE110,"/",AF110)))</f>
        <v>869/95036</v>
      </c>
      <c r="AH110" s="27" t="s">
        <v>50</v>
      </c>
      <c r="AI110" s="27" t="s">
        <v>50</v>
      </c>
      <c r="AJ110" s="80"/>
      <c r="AK110" s="55" t="s">
        <v>50</v>
      </c>
      <c r="AL110" s="2" t="s">
        <v>50</v>
      </c>
    </row>
    <row r="111" spans="1:37" ht="12.75" customHeight="1">
      <c r="A111" s="56"/>
      <c r="B111" s="28"/>
      <c r="C111" s="28"/>
      <c r="D111" s="29"/>
      <c r="E111" s="30" t="s">
        <v>50</v>
      </c>
      <c r="F111" s="30"/>
      <c r="G111" s="30"/>
      <c r="H111" s="30"/>
      <c r="I111" s="29"/>
      <c r="J111" s="29"/>
      <c r="K111" s="31"/>
      <c r="L111" s="31"/>
      <c r="M111" s="31"/>
      <c r="N111" s="31"/>
      <c r="O111" s="31"/>
      <c r="P111" s="30"/>
      <c r="Q111" s="30"/>
      <c r="R111" s="30"/>
      <c r="S111" s="30"/>
      <c r="T111" s="30"/>
      <c r="U111" s="30"/>
      <c r="V111" s="30"/>
      <c r="W111" s="30"/>
      <c r="X111" s="30"/>
      <c r="Y111" s="57"/>
      <c r="Z111" s="73"/>
      <c r="AA111" s="12"/>
      <c r="AB111" s="28"/>
      <c r="AC111" s="28"/>
      <c r="AD111" s="28"/>
      <c r="AE111" s="28"/>
      <c r="AF111" s="28"/>
      <c r="AG111" s="28"/>
      <c r="AH111" s="28"/>
      <c r="AI111" s="28"/>
      <c r="AJ111" s="80"/>
      <c r="AK111" s="57"/>
    </row>
    <row r="112" spans="1:38" ht="12.75" customHeight="1">
      <c r="A112" s="54">
        <v>61</v>
      </c>
      <c r="B112" s="17">
        <v>1183</v>
      </c>
      <c r="C112" s="17" t="s">
        <v>316</v>
      </c>
      <c r="D112" s="18">
        <v>1182.07</v>
      </c>
      <c r="E112" s="19" t="s">
        <v>317</v>
      </c>
      <c r="F112" s="19" t="s">
        <v>318</v>
      </c>
      <c r="G112" s="20">
        <v>4</v>
      </c>
      <c r="H112" s="20">
        <v>288</v>
      </c>
      <c r="I112" s="18">
        <f>ROUND(G112,0)</f>
        <v>4</v>
      </c>
      <c r="J112" s="18">
        <f>ROUND(H112,0)</f>
        <v>288</v>
      </c>
      <c r="K112" s="21" t="str">
        <f>IF(I112=J112,"TAM",(CONCATENATE(G112,"/",H112)))</f>
        <v>4/288</v>
      </c>
      <c r="L112" s="22">
        <f>1182.07*4/288</f>
        <v>16.417638888888888</v>
      </c>
      <c r="M112" s="23">
        <v>0</v>
      </c>
      <c r="N112" s="18" t="str">
        <f>IF(M112=0,"0",(O112*M112))</f>
        <v>0</v>
      </c>
      <c r="O112" s="18">
        <f>IF(W112=1,L112,((D112*G112/H112)-P112)/(1-V112)-S112-T112)</f>
        <v>16.417638888888888</v>
      </c>
      <c r="P112" s="18">
        <v>0</v>
      </c>
      <c r="Q112" s="18">
        <f>IF(U112=0,"0",O112*U112)</f>
        <v>4.839334156366982</v>
      </c>
      <c r="R112" s="24">
        <f>IF(U112=0,(((D112*G112/H112)-P112-S112-T112)/(1-V112)),(((D112*G112/H112)-P112-S112-T112)/(1-V112))-((D112*G112/H112)-P112-S112-T112)*U112/(1-V112))</f>
        <v>11.578304732521907</v>
      </c>
      <c r="S112" s="20">
        <v>0</v>
      </c>
      <c r="T112" s="20">
        <v>0</v>
      </c>
      <c r="U112" s="20">
        <v>0.294764319590568</v>
      </c>
      <c r="V112" s="20">
        <v>0</v>
      </c>
      <c r="W112" s="25">
        <f>IF(V112&gt;U112,1,V112)</f>
        <v>0</v>
      </c>
      <c r="X112" s="20">
        <v>1</v>
      </c>
      <c r="Y112" s="66">
        <v>0</v>
      </c>
      <c r="Z112" s="72" t="str">
        <f>IF(OR(W112=1,W112=0),"0",(Q112-N112))</f>
        <v>0</v>
      </c>
      <c r="AA112" s="67" t="s">
        <v>319</v>
      </c>
      <c r="AB112" s="18" t="s">
        <v>320</v>
      </c>
      <c r="AC112" s="18">
        <v>11.57</v>
      </c>
      <c r="AD112" s="18">
        <v>950.36</v>
      </c>
      <c r="AE112" s="18">
        <f>ROUND(AC112*100,0)</f>
        <v>1157</v>
      </c>
      <c r="AF112" s="18">
        <f>ROUND(AD112*100,0)</f>
        <v>95036</v>
      </c>
      <c r="AG112" s="26" t="str">
        <f>IF(AC112=AD112,"TAM",(CONCATENATE(AE112,"/",AF112)))</f>
        <v>1157/95036</v>
      </c>
      <c r="AH112" s="27" t="s">
        <v>50</v>
      </c>
      <c r="AI112" s="27" t="s">
        <v>50</v>
      </c>
      <c r="AJ112" s="80"/>
      <c r="AK112" s="55" t="s">
        <v>50</v>
      </c>
      <c r="AL112" s="2" t="s">
        <v>50</v>
      </c>
    </row>
    <row r="113" spans="1:37" ht="12.75" customHeight="1">
      <c r="A113" s="56"/>
      <c r="B113" s="28"/>
      <c r="C113" s="28"/>
      <c r="D113" s="29"/>
      <c r="E113" s="30" t="s">
        <v>50</v>
      </c>
      <c r="F113" s="30"/>
      <c r="G113" s="30"/>
      <c r="H113" s="30"/>
      <c r="I113" s="29"/>
      <c r="J113" s="29"/>
      <c r="K113" s="31"/>
      <c r="L113" s="31"/>
      <c r="M113" s="31"/>
      <c r="N113" s="31"/>
      <c r="O113" s="31"/>
      <c r="P113" s="30"/>
      <c r="Q113" s="30"/>
      <c r="R113" s="30"/>
      <c r="S113" s="30"/>
      <c r="T113" s="30"/>
      <c r="U113" s="30"/>
      <c r="V113" s="30"/>
      <c r="W113" s="30"/>
      <c r="X113" s="30"/>
      <c r="Y113" s="57"/>
      <c r="Z113" s="73"/>
      <c r="AA113" s="12"/>
      <c r="AB113" s="28"/>
      <c r="AC113" s="28"/>
      <c r="AD113" s="28"/>
      <c r="AE113" s="28"/>
      <c r="AF113" s="28"/>
      <c r="AG113" s="28"/>
      <c r="AH113" s="28"/>
      <c r="AI113" s="28"/>
      <c r="AJ113" s="80"/>
      <c r="AK113" s="57"/>
    </row>
    <row r="114" spans="1:38" ht="12.75" customHeight="1">
      <c r="A114" s="54">
        <v>62</v>
      </c>
      <c r="B114" s="17">
        <v>1183</v>
      </c>
      <c r="C114" s="17" t="s">
        <v>321</v>
      </c>
      <c r="D114" s="18">
        <v>1182.07</v>
      </c>
      <c r="E114" s="19" t="s">
        <v>322</v>
      </c>
      <c r="F114" s="19" t="s">
        <v>323</v>
      </c>
      <c r="G114" s="20">
        <v>9</v>
      </c>
      <c r="H114" s="20">
        <v>288</v>
      </c>
      <c r="I114" s="18">
        <f>ROUND(G114,0)</f>
        <v>9</v>
      </c>
      <c r="J114" s="18">
        <f>ROUND(H114,0)</f>
        <v>288</v>
      </c>
      <c r="K114" s="21" t="str">
        <f>IF(I114=J114,"TAM",(CONCATENATE(G114,"/",H114)))</f>
        <v>9/288</v>
      </c>
      <c r="L114" s="22">
        <f>1182.07*9/288</f>
        <v>36.9396875</v>
      </c>
      <c r="M114" s="23">
        <v>0</v>
      </c>
      <c r="N114" s="18" t="str">
        <f>IF(M114=0,"0",(O114*M114))</f>
        <v>0</v>
      </c>
      <c r="O114" s="18">
        <f>IF(W114=1,L114,((D114*G114/H114)-P114)/(1-V114)-S114-T114)</f>
        <v>36.9396875</v>
      </c>
      <c r="P114" s="18">
        <v>0</v>
      </c>
      <c r="Q114" s="18">
        <f>IF(U114=0,"0",O114*U114)</f>
        <v>10.888501851825708</v>
      </c>
      <c r="R114" s="24">
        <f>IF(U114=0,(((D114*G114/H114)-P114-S114-T114)/(1-V114)),(((D114*G114/H114)-P114-S114-T114)/(1-V114))-((D114*G114/H114)-P114-S114-T114)*U114/(1-V114))</f>
        <v>26.05118564817429</v>
      </c>
      <c r="S114" s="20">
        <v>0</v>
      </c>
      <c r="T114" s="20">
        <v>0</v>
      </c>
      <c r="U114" s="20">
        <v>0.294764319590568</v>
      </c>
      <c r="V114" s="20">
        <v>0</v>
      </c>
      <c r="W114" s="25">
        <f>IF(V114&gt;U114,1,V114)</f>
        <v>0</v>
      </c>
      <c r="X114" s="20">
        <v>1</v>
      </c>
      <c r="Y114" s="66">
        <v>0</v>
      </c>
      <c r="Z114" s="72" t="str">
        <f>IF(OR(W114=1,W114=0),"0",(Q114-N114))</f>
        <v>0</v>
      </c>
      <c r="AA114" s="67" t="s">
        <v>324</v>
      </c>
      <c r="AB114" s="18" t="s">
        <v>325</v>
      </c>
      <c r="AC114" s="18">
        <v>26.05</v>
      </c>
      <c r="AD114" s="18">
        <v>950.36</v>
      </c>
      <c r="AE114" s="18">
        <f>ROUND(AC114*100,0)</f>
        <v>2605</v>
      </c>
      <c r="AF114" s="18">
        <f>ROUND(AD114*100,0)</f>
        <v>95036</v>
      </c>
      <c r="AG114" s="26" t="str">
        <f>IF(AC114=AD114,"TAM",(CONCATENATE(AE114,"/",AF114)))</f>
        <v>2605/95036</v>
      </c>
      <c r="AH114" s="27" t="s">
        <v>50</v>
      </c>
      <c r="AI114" s="27" t="s">
        <v>50</v>
      </c>
      <c r="AJ114" s="80"/>
      <c r="AK114" s="55" t="s">
        <v>50</v>
      </c>
      <c r="AL114" s="2" t="s">
        <v>50</v>
      </c>
    </row>
    <row r="115" spans="1:37" ht="12.75" customHeight="1">
      <c r="A115" s="56"/>
      <c r="B115" s="28"/>
      <c r="C115" s="28"/>
      <c r="D115" s="29"/>
      <c r="E115" s="30" t="s">
        <v>50</v>
      </c>
      <c r="F115" s="30"/>
      <c r="G115" s="30"/>
      <c r="H115" s="30"/>
      <c r="I115" s="29"/>
      <c r="J115" s="29"/>
      <c r="K115" s="31"/>
      <c r="L115" s="31"/>
      <c r="M115" s="31"/>
      <c r="N115" s="31"/>
      <c r="O115" s="31"/>
      <c r="P115" s="30"/>
      <c r="Q115" s="30"/>
      <c r="R115" s="30"/>
      <c r="S115" s="30"/>
      <c r="T115" s="30"/>
      <c r="U115" s="30"/>
      <c r="V115" s="30"/>
      <c r="W115" s="30"/>
      <c r="X115" s="30"/>
      <c r="Y115" s="57"/>
      <c r="Z115" s="73"/>
      <c r="AA115" s="12"/>
      <c r="AB115" s="28"/>
      <c r="AC115" s="28"/>
      <c r="AD115" s="28"/>
      <c r="AE115" s="28"/>
      <c r="AF115" s="28"/>
      <c r="AG115" s="28"/>
      <c r="AH115" s="28"/>
      <c r="AI115" s="28"/>
      <c r="AJ115" s="80"/>
      <c r="AK115" s="57"/>
    </row>
    <row r="116" spans="1:38" ht="12.75" customHeight="1">
      <c r="A116" s="54">
        <v>60</v>
      </c>
      <c r="B116" s="17">
        <v>1183</v>
      </c>
      <c r="C116" s="17" t="s">
        <v>326</v>
      </c>
      <c r="D116" s="18">
        <v>1182.07</v>
      </c>
      <c r="E116" s="19" t="s">
        <v>327</v>
      </c>
      <c r="F116" s="19" t="s">
        <v>328</v>
      </c>
      <c r="G116" s="20">
        <v>4</v>
      </c>
      <c r="H116" s="20">
        <v>288</v>
      </c>
      <c r="I116" s="18">
        <f>ROUND(G116,0)</f>
        <v>4</v>
      </c>
      <c r="J116" s="18">
        <f>ROUND(H116,0)</f>
        <v>288</v>
      </c>
      <c r="K116" s="21" t="str">
        <f>IF(I116=J116,"TAM",(CONCATENATE(G116,"/",H116)))</f>
        <v>4/288</v>
      </c>
      <c r="L116" s="22">
        <f>1182.07*4/288</f>
        <v>16.417638888888888</v>
      </c>
      <c r="M116" s="23">
        <v>0</v>
      </c>
      <c r="N116" s="18" t="str">
        <f>IF(M116=0,"0",(O116*M116))</f>
        <v>0</v>
      </c>
      <c r="O116" s="18">
        <f>IF(W116=1,L116,((D116*G116/H116)-P116)/(1-V116)-S116-T116)</f>
        <v>16.417638888888888</v>
      </c>
      <c r="P116" s="18">
        <v>0</v>
      </c>
      <c r="Q116" s="18">
        <f>IF(U116=0,"0",O116*U116)</f>
        <v>4.839334156366982</v>
      </c>
      <c r="R116" s="24">
        <f>IF(U116=0,(((D116*G116/H116)-P116-S116-T116)/(1-V116)),(((D116*G116/H116)-P116-S116-T116)/(1-V116))-((D116*G116/H116)-P116-S116-T116)*U116/(1-V116))</f>
        <v>11.578304732521907</v>
      </c>
      <c r="S116" s="20">
        <v>0</v>
      </c>
      <c r="T116" s="20">
        <v>0</v>
      </c>
      <c r="U116" s="20">
        <v>0.294764319590568</v>
      </c>
      <c r="V116" s="20">
        <v>0</v>
      </c>
      <c r="W116" s="25">
        <f>IF(V116&gt;U116,1,V116)</f>
        <v>0</v>
      </c>
      <c r="X116" s="20">
        <v>1</v>
      </c>
      <c r="Y116" s="66">
        <v>0</v>
      </c>
      <c r="Z116" s="72" t="str">
        <f>IF(OR(W116=1,W116=0),"0",(Q116-N116))</f>
        <v>0</v>
      </c>
      <c r="AA116" s="67" t="s">
        <v>329</v>
      </c>
      <c r="AB116" s="18" t="s">
        <v>330</v>
      </c>
      <c r="AC116" s="18">
        <v>11.57</v>
      </c>
      <c r="AD116" s="18">
        <v>950.36</v>
      </c>
      <c r="AE116" s="18">
        <f>ROUND(AC116*100,0)</f>
        <v>1157</v>
      </c>
      <c r="AF116" s="18">
        <f>ROUND(AD116*100,0)</f>
        <v>95036</v>
      </c>
      <c r="AG116" s="26" t="str">
        <f>IF(AC116=AD116,"TAM",(CONCATENATE(AE116,"/",AF116)))</f>
        <v>1157/95036</v>
      </c>
      <c r="AH116" s="27" t="s">
        <v>50</v>
      </c>
      <c r="AI116" s="27" t="s">
        <v>50</v>
      </c>
      <c r="AJ116" s="80"/>
      <c r="AK116" s="55" t="s">
        <v>50</v>
      </c>
      <c r="AL116" s="2" t="s">
        <v>50</v>
      </c>
    </row>
    <row r="117" spans="1:37" ht="12.75" customHeight="1">
      <c r="A117" s="56"/>
      <c r="B117" s="28"/>
      <c r="C117" s="28"/>
      <c r="D117" s="29"/>
      <c r="E117" s="30" t="s">
        <v>50</v>
      </c>
      <c r="F117" s="30"/>
      <c r="G117" s="30"/>
      <c r="H117" s="30"/>
      <c r="I117" s="29"/>
      <c r="J117" s="29"/>
      <c r="K117" s="31"/>
      <c r="L117" s="31"/>
      <c r="M117" s="31"/>
      <c r="N117" s="31"/>
      <c r="O117" s="31"/>
      <c r="P117" s="30"/>
      <c r="Q117" s="30"/>
      <c r="R117" s="30"/>
      <c r="S117" s="30"/>
      <c r="T117" s="30"/>
      <c r="U117" s="30"/>
      <c r="V117" s="30"/>
      <c r="W117" s="30"/>
      <c r="X117" s="30"/>
      <c r="Y117" s="57"/>
      <c r="Z117" s="73"/>
      <c r="AA117" s="12"/>
      <c r="AB117" s="28"/>
      <c r="AC117" s="28"/>
      <c r="AD117" s="28"/>
      <c r="AE117" s="28"/>
      <c r="AF117" s="28"/>
      <c r="AG117" s="28"/>
      <c r="AH117" s="28"/>
      <c r="AI117" s="28"/>
      <c r="AJ117" s="80"/>
      <c r="AK117" s="57"/>
    </row>
    <row r="118" spans="1:38" ht="12.75" customHeight="1">
      <c r="A118" s="54">
        <v>52</v>
      </c>
      <c r="B118" s="17">
        <v>1183</v>
      </c>
      <c r="C118" s="17" t="s">
        <v>331</v>
      </c>
      <c r="D118" s="18">
        <v>1182.07</v>
      </c>
      <c r="E118" s="19" t="s">
        <v>332</v>
      </c>
      <c r="F118" s="19" t="s">
        <v>333</v>
      </c>
      <c r="G118" s="20">
        <v>4</v>
      </c>
      <c r="H118" s="20">
        <v>288</v>
      </c>
      <c r="I118" s="18">
        <f>ROUND(G118,0)</f>
        <v>4</v>
      </c>
      <c r="J118" s="18">
        <f>ROUND(H118,0)</f>
        <v>288</v>
      </c>
      <c r="K118" s="21" t="str">
        <f>IF(I118=J118,"TAM",(CONCATENATE(G118,"/",H118)))</f>
        <v>4/288</v>
      </c>
      <c r="L118" s="22">
        <f>1182.07*4/288</f>
        <v>16.417638888888888</v>
      </c>
      <c r="M118" s="23">
        <v>0</v>
      </c>
      <c r="N118" s="18" t="str">
        <f>IF(M118=0,"0",(O118*M118))</f>
        <v>0</v>
      </c>
      <c r="O118" s="18">
        <f>IF(W118=1,L118,((D118*G118/H118)-P118)/(1-V118)-S118-T118)</f>
        <v>16.417638888888888</v>
      </c>
      <c r="P118" s="18">
        <v>0</v>
      </c>
      <c r="Q118" s="18">
        <f>IF(U118=0,"0",O118*U118)</f>
        <v>4.839334156366982</v>
      </c>
      <c r="R118" s="24">
        <f>IF(U118=0,(((D118*G118/H118)-P118-S118-T118)/(1-V118)),(((D118*G118/H118)-P118-S118-T118)/(1-V118))-((D118*G118/H118)-P118-S118-T118)*U118/(1-V118))</f>
        <v>11.578304732521907</v>
      </c>
      <c r="S118" s="20">
        <v>0</v>
      </c>
      <c r="T118" s="20">
        <v>0</v>
      </c>
      <c r="U118" s="20">
        <v>0.294764319590568</v>
      </c>
      <c r="V118" s="20">
        <v>0</v>
      </c>
      <c r="W118" s="25">
        <f>IF(V118&gt;U118,1,V118)</f>
        <v>0</v>
      </c>
      <c r="X118" s="20">
        <v>1</v>
      </c>
      <c r="Y118" s="66">
        <v>0</v>
      </c>
      <c r="Z118" s="72" t="str">
        <f>IF(OR(W118=1,W118=0),"0",(Q118-N118))</f>
        <v>0</v>
      </c>
      <c r="AA118" s="67" t="s">
        <v>334</v>
      </c>
      <c r="AB118" s="18" t="s">
        <v>335</v>
      </c>
      <c r="AC118" s="18">
        <v>11.58</v>
      </c>
      <c r="AD118" s="18">
        <v>950.36</v>
      </c>
      <c r="AE118" s="18">
        <f>ROUND(AC118*100,0)</f>
        <v>1158</v>
      </c>
      <c r="AF118" s="18">
        <f>ROUND(AD118*100,0)</f>
        <v>95036</v>
      </c>
      <c r="AG118" s="26" t="str">
        <f>IF(AC118=AD118,"TAM",(CONCATENATE(AE118,"/",AF118)))</f>
        <v>1158/95036</v>
      </c>
      <c r="AH118" s="27" t="s">
        <v>50</v>
      </c>
      <c r="AI118" s="27" t="s">
        <v>50</v>
      </c>
      <c r="AJ118" s="80"/>
      <c r="AK118" s="55" t="s">
        <v>50</v>
      </c>
      <c r="AL118" s="2" t="s">
        <v>50</v>
      </c>
    </row>
    <row r="119" spans="1:37" ht="12.75" customHeight="1">
      <c r="A119" s="56"/>
      <c r="B119" s="28"/>
      <c r="C119" s="28"/>
      <c r="D119" s="29"/>
      <c r="E119" s="30" t="s">
        <v>50</v>
      </c>
      <c r="F119" s="30"/>
      <c r="G119" s="30"/>
      <c r="H119" s="30"/>
      <c r="I119" s="29"/>
      <c r="J119" s="29"/>
      <c r="K119" s="31"/>
      <c r="L119" s="31"/>
      <c r="M119" s="31"/>
      <c r="N119" s="31"/>
      <c r="O119" s="31"/>
      <c r="P119" s="30"/>
      <c r="Q119" s="30"/>
      <c r="R119" s="30"/>
      <c r="S119" s="30"/>
      <c r="T119" s="30"/>
      <c r="U119" s="30"/>
      <c r="V119" s="30"/>
      <c r="W119" s="30"/>
      <c r="X119" s="30"/>
      <c r="Y119" s="57"/>
      <c r="Z119" s="73"/>
      <c r="AA119" s="12"/>
      <c r="AB119" s="28"/>
      <c r="AC119" s="28"/>
      <c r="AD119" s="28"/>
      <c r="AE119" s="28"/>
      <c r="AF119" s="28"/>
      <c r="AG119" s="28"/>
      <c r="AH119" s="28"/>
      <c r="AI119" s="28"/>
      <c r="AJ119" s="80"/>
      <c r="AK119" s="57"/>
    </row>
    <row r="120" spans="1:38" ht="12.75" customHeight="1">
      <c r="A120" s="54">
        <v>56</v>
      </c>
      <c r="B120" s="17">
        <v>1183</v>
      </c>
      <c r="C120" s="17" t="s">
        <v>336</v>
      </c>
      <c r="D120" s="18">
        <v>1182.07</v>
      </c>
      <c r="E120" s="19" t="s">
        <v>337</v>
      </c>
      <c r="F120" s="19" t="s">
        <v>338</v>
      </c>
      <c r="G120" s="20">
        <v>3</v>
      </c>
      <c r="H120" s="20">
        <v>288</v>
      </c>
      <c r="I120" s="18">
        <f>ROUND(G120,0)</f>
        <v>3</v>
      </c>
      <c r="J120" s="18">
        <f>ROUND(H120,0)</f>
        <v>288</v>
      </c>
      <c r="K120" s="21" t="str">
        <f>IF(I120=J120,"TAM",(CONCATENATE(G120,"/",H120)))</f>
        <v>3/288</v>
      </c>
      <c r="L120" s="22">
        <f>1182.07*3/288</f>
        <v>12.313229166666666</v>
      </c>
      <c r="M120" s="23">
        <v>0</v>
      </c>
      <c r="N120" s="18" t="str">
        <f>IF(M120=0,"0",(O120*M120))</f>
        <v>0</v>
      </c>
      <c r="O120" s="18">
        <f>IF(W120=1,L120,((D120*G120/H120)-P120)/(1-V120)-S120-T120)</f>
        <v>12.313229166666666</v>
      </c>
      <c r="P120" s="18">
        <v>0</v>
      </c>
      <c r="Q120" s="18">
        <f>IF(U120=0,"0",O120*U120)</f>
        <v>3.629500617275236</v>
      </c>
      <c r="R120" s="24">
        <f>IF(U120=0,(((D120*G120/H120)-P120-S120-T120)/(1-V120)),(((D120*G120/H120)-P120-S120-T120)/(1-V120))-((D120*G120/H120)-P120-S120-T120)*U120/(1-V120))</f>
        <v>8.68372854939143</v>
      </c>
      <c r="S120" s="20">
        <v>0</v>
      </c>
      <c r="T120" s="20">
        <v>0</v>
      </c>
      <c r="U120" s="20">
        <v>0.294764319590568</v>
      </c>
      <c r="V120" s="20">
        <v>0</v>
      </c>
      <c r="W120" s="25">
        <f>IF(V120&gt;U120,1,V120)</f>
        <v>0</v>
      </c>
      <c r="X120" s="20">
        <v>1</v>
      </c>
      <c r="Y120" s="66">
        <v>0</v>
      </c>
      <c r="Z120" s="72" t="str">
        <f>IF(OR(W120=1,W120=0),"0",(Q120-N120))</f>
        <v>0</v>
      </c>
      <c r="AA120" s="67" t="s">
        <v>339</v>
      </c>
      <c r="AB120" s="18" t="s">
        <v>340</v>
      </c>
      <c r="AC120" s="18">
        <v>8.68</v>
      </c>
      <c r="AD120" s="18">
        <v>950.36</v>
      </c>
      <c r="AE120" s="18">
        <f>ROUND(AC120*100,0)</f>
        <v>868</v>
      </c>
      <c r="AF120" s="18">
        <f>ROUND(AD120*100,0)</f>
        <v>95036</v>
      </c>
      <c r="AG120" s="26" t="str">
        <f>IF(AC120=AD120,"TAM",(CONCATENATE(AE120,"/",AF120)))</f>
        <v>868/95036</v>
      </c>
      <c r="AH120" s="27" t="s">
        <v>50</v>
      </c>
      <c r="AI120" s="27" t="s">
        <v>50</v>
      </c>
      <c r="AJ120" s="80"/>
      <c r="AK120" s="55" t="s">
        <v>50</v>
      </c>
      <c r="AL120" s="2" t="s">
        <v>50</v>
      </c>
    </row>
    <row r="121" spans="1:37" ht="12.75" customHeight="1">
      <c r="A121" s="56"/>
      <c r="B121" s="28"/>
      <c r="C121" s="28"/>
      <c r="D121" s="29"/>
      <c r="E121" s="30" t="s">
        <v>50</v>
      </c>
      <c r="F121" s="30"/>
      <c r="G121" s="30"/>
      <c r="H121" s="30"/>
      <c r="I121" s="29"/>
      <c r="J121" s="29"/>
      <c r="K121" s="31"/>
      <c r="L121" s="31"/>
      <c r="M121" s="31"/>
      <c r="N121" s="31"/>
      <c r="O121" s="31"/>
      <c r="P121" s="30"/>
      <c r="Q121" s="30"/>
      <c r="R121" s="30"/>
      <c r="S121" s="30"/>
      <c r="T121" s="30"/>
      <c r="U121" s="30"/>
      <c r="V121" s="30"/>
      <c r="W121" s="30"/>
      <c r="X121" s="30"/>
      <c r="Y121" s="57"/>
      <c r="Z121" s="73"/>
      <c r="AA121" s="12"/>
      <c r="AB121" s="28"/>
      <c r="AC121" s="28"/>
      <c r="AD121" s="28"/>
      <c r="AE121" s="28"/>
      <c r="AF121" s="28"/>
      <c r="AG121" s="28"/>
      <c r="AH121" s="28"/>
      <c r="AI121" s="28"/>
      <c r="AJ121" s="80"/>
      <c r="AK121" s="57"/>
    </row>
    <row r="122" spans="1:38" ht="12.75" customHeight="1">
      <c r="A122" s="54">
        <v>57</v>
      </c>
      <c r="B122" s="17">
        <v>1183</v>
      </c>
      <c r="C122" s="17" t="s">
        <v>341</v>
      </c>
      <c r="D122" s="18">
        <v>1182.07</v>
      </c>
      <c r="E122" s="19" t="s">
        <v>342</v>
      </c>
      <c r="F122" s="19" t="s">
        <v>343</v>
      </c>
      <c r="G122" s="20">
        <v>3</v>
      </c>
      <c r="H122" s="20">
        <v>288</v>
      </c>
      <c r="I122" s="18">
        <f>ROUND(G122,0)</f>
        <v>3</v>
      </c>
      <c r="J122" s="18">
        <f>ROUND(H122,0)</f>
        <v>288</v>
      </c>
      <c r="K122" s="21" t="str">
        <f>IF(I122=J122,"TAM",(CONCATENATE(G122,"/",H122)))</f>
        <v>3/288</v>
      </c>
      <c r="L122" s="22">
        <f>1182.07*3/288</f>
        <v>12.313229166666666</v>
      </c>
      <c r="M122" s="23">
        <v>0</v>
      </c>
      <c r="N122" s="18" t="str">
        <f>IF(M122=0,"0",(O122*M122))</f>
        <v>0</v>
      </c>
      <c r="O122" s="18">
        <f>IF(W122=1,L122,((D122*G122/H122)-P122)/(1-V122)-S122-T122)</f>
        <v>12.313229166666666</v>
      </c>
      <c r="P122" s="18">
        <v>0</v>
      </c>
      <c r="Q122" s="18">
        <f>IF(U122=0,"0",O122*U122)</f>
        <v>3.629500617275236</v>
      </c>
      <c r="R122" s="24">
        <f>IF(U122=0,(((D122*G122/H122)-P122-S122-T122)/(1-V122)),(((D122*G122/H122)-P122-S122-T122)/(1-V122))-((D122*G122/H122)-P122-S122-T122)*U122/(1-V122))</f>
        <v>8.68372854939143</v>
      </c>
      <c r="S122" s="20">
        <v>0</v>
      </c>
      <c r="T122" s="20">
        <v>0</v>
      </c>
      <c r="U122" s="20">
        <v>0.294764319590568</v>
      </c>
      <c r="V122" s="20">
        <v>0</v>
      </c>
      <c r="W122" s="25">
        <f>IF(V122&gt;U122,1,V122)</f>
        <v>0</v>
      </c>
      <c r="X122" s="20">
        <v>1</v>
      </c>
      <c r="Y122" s="66">
        <v>0</v>
      </c>
      <c r="Z122" s="72" t="str">
        <f>IF(OR(W122=1,W122=0),"0",(Q122-N122))</f>
        <v>0</v>
      </c>
      <c r="AA122" s="67" t="s">
        <v>344</v>
      </c>
      <c r="AB122" s="18" t="s">
        <v>345</v>
      </c>
      <c r="AC122" s="18">
        <v>8.68</v>
      </c>
      <c r="AD122" s="18">
        <v>950.36</v>
      </c>
      <c r="AE122" s="18">
        <f>ROUND(AC122*100,0)</f>
        <v>868</v>
      </c>
      <c r="AF122" s="18">
        <f>ROUND(AD122*100,0)</f>
        <v>95036</v>
      </c>
      <c r="AG122" s="26" t="str">
        <f>IF(AC122=AD122,"TAM",(CONCATENATE(AE122,"/",AF122)))</f>
        <v>868/95036</v>
      </c>
      <c r="AH122" s="27" t="s">
        <v>50</v>
      </c>
      <c r="AI122" s="27" t="s">
        <v>50</v>
      </c>
      <c r="AJ122" s="80"/>
      <c r="AK122" s="55" t="s">
        <v>50</v>
      </c>
      <c r="AL122" s="2" t="s">
        <v>50</v>
      </c>
    </row>
    <row r="123" spans="1:37" ht="12.75" customHeight="1">
      <c r="A123" s="56"/>
      <c r="B123" s="28"/>
      <c r="C123" s="28"/>
      <c r="D123" s="29"/>
      <c r="E123" s="30" t="s">
        <v>50</v>
      </c>
      <c r="F123" s="30"/>
      <c r="G123" s="30"/>
      <c r="H123" s="30"/>
      <c r="I123" s="29"/>
      <c r="J123" s="29"/>
      <c r="K123" s="31"/>
      <c r="L123" s="31"/>
      <c r="M123" s="31"/>
      <c r="N123" s="31"/>
      <c r="O123" s="31"/>
      <c r="P123" s="30"/>
      <c r="Q123" s="30"/>
      <c r="R123" s="30"/>
      <c r="S123" s="30"/>
      <c r="T123" s="30"/>
      <c r="U123" s="30"/>
      <c r="V123" s="30"/>
      <c r="W123" s="30"/>
      <c r="X123" s="30"/>
      <c r="Y123" s="57"/>
      <c r="Z123" s="73"/>
      <c r="AA123" s="12"/>
      <c r="AB123" s="28"/>
      <c r="AC123" s="28"/>
      <c r="AD123" s="28"/>
      <c r="AE123" s="28"/>
      <c r="AF123" s="28"/>
      <c r="AG123" s="28"/>
      <c r="AH123" s="28"/>
      <c r="AI123" s="28"/>
      <c r="AJ123" s="80"/>
      <c r="AK123" s="57"/>
    </row>
    <row r="124" spans="1:38" ht="12.75" customHeight="1">
      <c r="A124" s="54">
        <v>55</v>
      </c>
      <c r="B124" s="17">
        <v>1183</v>
      </c>
      <c r="C124" s="17" t="s">
        <v>346</v>
      </c>
      <c r="D124" s="18">
        <v>1182.07</v>
      </c>
      <c r="E124" s="19" t="s">
        <v>347</v>
      </c>
      <c r="F124" s="19" t="s">
        <v>348</v>
      </c>
      <c r="G124" s="20">
        <v>4</v>
      </c>
      <c r="H124" s="20">
        <v>288</v>
      </c>
      <c r="I124" s="18">
        <f>ROUND(G124,0)</f>
        <v>4</v>
      </c>
      <c r="J124" s="18">
        <f>ROUND(H124,0)</f>
        <v>288</v>
      </c>
      <c r="K124" s="21" t="str">
        <f>IF(I124=J124,"TAM",(CONCATENATE(G124,"/",H124)))</f>
        <v>4/288</v>
      </c>
      <c r="L124" s="22">
        <f>1182.07*4/288</f>
        <v>16.417638888888888</v>
      </c>
      <c r="M124" s="23">
        <v>0</v>
      </c>
      <c r="N124" s="18" t="str">
        <f>IF(M124=0,"0",(O124*M124))</f>
        <v>0</v>
      </c>
      <c r="O124" s="18">
        <f>IF(W124=1,L124,((D124*G124/H124)-P124)/(1-V124)-S124-T124)</f>
        <v>16.417638888888888</v>
      </c>
      <c r="P124" s="18">
        <v>0</v>
      </c>
      <c r="Q124" s="18">
        <f>IF(U124=0,"0",O124*U124)</f>
        <v>4.839334156366982</v>
      </c>
      <c r="R124" s="24">
        <f>IF(U124=0,(((D124*G124/H124)-P124-S124-T124)/(1-V124)),(((D124*G124/H124)-P124-S124-T124)/(1-V124))-((D124*G124/H124)-P124-S124-T124)*U124/(1-V124))</f>
        <v>11.578304732521907</v>
      </c>
      <c r="S124" s="20">
        <v>0</v>
      </c>
      <c r="T124" s="20">
        <v>0</v>
      </c>
      <c r="U124" s="20">
        <v>0.294764319590568</v>
      </c>
      <c r="V124" s="20">
        <v>0</v>
      </c>
      <c r="W124" s="25">
        <f>IF(V124&gt;U124,1,V124)</f>
        <v>0</v>
      </c>
      <c r="X124" s="20">
        <v>1</v>
      </c>
      <c r="Y124" s="66">
        <v>0</v>
      </c>
      <c r="Z124" s="72" t="str">
        <f>IF(OR(W124=1,W124=0),"0",(Q124-N124))</f>
        <v>0</v>
      </c>
      <c r="AA124" s="67" t="s">
        <v>349</v>
      </c>
      <c r="AB124" s="18" t="s">
        <v>350</v>
      </c>
      <c r="AC124" s="18">
        <v>11.57</v>
      </c>
      <c r="AD124" s="18">
        <v>950.36</v>
      </c>
      <c r="AE124" s="18">
        <f>ROUND(AC124*100,0)</f>
        <v>1157</v>
      </c>
      <c r="AF124" s="18">
        <f>ROUND(AD124*100,0)</f>
        <v>95036</v>
      </c>
      <c r="AG124" s="26" t="str">
        <f>IF(AC124=AD124,"TAM",(CONCATENATE(AE124,"/",AF124)))</f>
        <v>1157/95036</v>
      </c>
      <c r="AH124" s="27" t="s">
        <v>50</v>
      </c>
      <c r="AI124" s="27" t="s">
        <v>50</v>
      </c>
      <c r="AJ124" s="80"/>
      <c r="AK124" s="55" t="s">
        <v>50</v>
      </c>
      <c r="AL124" s="2" t="s">
        <v>50</v>
      </c>
    </row>
    <row r="125" spans="1:37" ht="12.75" customHeight="1">
      <c r="A125" s="56"/>
      <c r="B125" s="28"/>
      <c r="C125" s="28"/>
      <c r="D125" s="29"/>
      <c r="E125" s="30" t="s">
        <v>50</v>
      </c>
      <c r="F125" s="30"/>
      <c r="G125" s="30"/>
      <c r="H125" s="30"/>
      <c r="I125" s="29"/>
      <c r="J125" s="29"/>
      <c r="K125" s="31"/>
      <c r="L125" s="31"/>
      <c r="M125" s="31"/>
      <c r="N125" s="31"/>
      <c r="O125" s="31"/>
      <c r="P125" s="30"/>
      <c r="Q125" s="30"/>
      <c r="R125" s="30"/>
      <c r="S125" s="30"/>
      <c r="T125" s="30"/>
      <c r="U125" s="30"/>
      <c r="V125" s="30"/>
      <c r="W125" s="30"/>
      <c r="X125" s="30"/>
      <c r="Y125" s="57"/>
      <c r="Z125" s="73"/>
      <c r="AA125" s="12"/>
      <c r="AB125" s="28"/>
      <c r="AC125" s="28"/>
      <c r="AD125" s="28"/>
      <c r="AE125" s="28"/>
      <c r="AF125" s="28"/>
      <c r="AG125" s="28"/>
      <c r="AH125" s="28"/>
      <c r="AI125" s="28"/>
      <c r="AJ125" s="80"/>
      <c r="AK125" s="57"/>
    </row>
    <row r="126" spans="1:38" ht="12.75" customHeight="1">
      <c r="A126" s="54">
        <v>161</v>
      </c>
      <c r="B126" s="17">
        <v>1415</v>
      </c>
      <c r="C126" s="17" t="s">
        <v>351</v>
      </c>
      <c r="D126" s="18">
        <v>902.46</v>
      </c>
      <c r="E126" s="19" t="s">
        <v>352</v>
      </c>
      <c r="F126" s="19" t="s">
        <v>353</v>
      </c>
      <c r="G126" s="20">
        <v>1</v>
      </c>
      <c r="H126" s="20">
        <v>3</v>
      </c>
      <c r="I126" s="18">
        <f>ROUND(G126,0)</f>
        <v>1</v>
      </c>
      <c r="J126" s="18">
        <f>ROUND(H126,0)</f>
        <v>3</v>
      </c>
      <c r="K126" s="21" t="str">
        <f>IF(I126=J126,"TAM",(CONCATENATE(G126,"/",H126)))</f>
        <v>1/3</v>
      </c>
      <c r="L126" s="22">
        <f>902.46*1/3</f>
        <v>300.82</v>
      </c>
      <c r="M126" s="23">
        <v>0</v>
      </c>
      <c r="N126" s="18" t="str">
        <f>IF(M126=0,"0",(O126*M126))</f>
        <v>0</v>
      </c>
      <c r="O126" s="18">
        <f>IF(W126=1,L126,((D126*G126/H126)-P126)/(1-V126)-S126-T126)</f>
        <v>55.16999999999999</v>
      </c>
      <c r="P126" s="18">
        <v>245.65</v>
      </c>
      <c r="Q126" s="18">
        <f>IF(U126=0,"0",O126*U126)</f>
        <v>16.26214751181163</v>
      </c>
      <c r="R126" s="24">
        <f>IF(U126=0,(((D126*G126/H126)-P126-S126-T126)/(1-V126)),(((D126*G126/H126)-P126-S126-T126)/(1-V126))-((D126*G126/H126)-P126-S126-T126)*U126/(1-V126))</f>
        <v>38.907852488188354</v>
      </c>
      <c r="S126" s="20">
        <v>0</v>
      </c>
      <c r="T126" s="20">
        <v>0</v>
      </c>
      <c r="U126" s="20">
        <v>0.294764319590568</v>
      </c>
      <c r="V126" s="20">
        <v>0</v>
      </c>
      <c r="W126" s="25">
        <f>IF(V126&gt;U126,1,V126)</f>
        <v>0</v>
      </c>
      <c r="X126" s="20">
        <v>1</v>
      </c>
      <c r="Y126" s="66">
        <v>0</v>
      </c>
      <c r="Z126" s="72" t="str">
        <f>IF(OR(W126=1,W126=0),"0",(Q126-N126))</f>
        <v>0</v>
      </c>
      <c r="AA126" s="67" t="s">
        <v>354</v>
      </c>
      <c r="AB126" s="18" t="s">
        <v>355</v>
      </c>
      <c r="AC126" s="18">
        <v>38.91</v>
      </c>
      <c r="AD126" s="18">
        <v>950.36</v>
      </c>
      <c r="AE126" s="18">
        <f>ROUND(AC126*100,0)</f>
        <v>3891</v>
      </c>
      <c r="AF126" s="18">
        <f>ROUND(AD126*100,0)</f>
        <v>95036</v>
      </c>
      <c r="AG126" s="26" t="str">
        <f>IF(AC126=AD126,"TAM",(CONCATENATE(AE126,"/",AF126)))</f>
        <v>3891/95036</v>
      </c>
      <c r="AH126" s="27" t="s">
        <v>50</v>
      </c>
      <c r="AI126" s="27" t="s">
        <v>50</v>
      </c>
      <c r="AJ126" s="80"/>
      <c r="AK126" s="55" t="s">
        <v>50</v>
      </c>
      <c r="AL126" s="2" t="s">
        <v>50</v>
      </c>
    </row>
    <row r="127" spans="1:37" ht="12.75" customHeight="1">
      <c r="A127" s="56"/>
      <c r="B127" s="28"/>
      <c r="C127" s="28"/>
      <c r="D127" s="29"/>
      <c r="E127" s="30" t="s">
        <v>50</v>
      </c>
      <c r="F127" s="30"/>
      <c r="G127" s="30"/>
      <c r="H127" s="30"/>
      <c r="I127" s="29"/>
      <c r="J127" s="29"/>
      <c r="K127" s="31"/>
      <c r="L127" s="31"/>
      <c r="M127" s="31"/>
      <c r="N127" s="31"/>
      <c r="O127" s="31"/>
      <c r="P127" s="30"/>
      <c r="Q127" s="30"/>
      <c r="R127" s="30"/>
      <c r="S127" s="30"/>
      <c r="T127" s="30"/>
      <c r="U127" s="30"/>
      <c r="V127" s="30"/>
      <c r="W127" s="30"/>
      <c r="X127" s="30"/>
      <c r="Y127" s="57"/>
      <c r="Z127" s="73"/>
      <c r="AA127" s="12"/>
      <c r="AB127" s="28"/>
      <c r="AC127" s="28"/>
      <c r="AD127" s="28"/>
      <c r="AE127" s="28"/>
      <c r="AF127" s="28"/>
      <c r="AG127" s="28"/>
      <c r="AH127" s="28"/>
      <c r="AI127" s="28"/>
      <c r="AJ127" s="80"/>
      <c r="AK127" s="57"/>
    </row>
    <row r="128" spans="1:38" ht="12.75" customHeight="1">
      <c r="A128" s="54">
        <v>162</v>
      </c>
      <c r="B128" s="17">
        <v>1415</v>
      </c>
      <c r="C128" s="17" t="s">
        <v>356</v>
      </c>
      <c r="D128" s="18">
        <v>902.46</v>
      </c>
      <c r="E128" s="19" t="s">
        <v>357</v>
      </c>
      <c r="F128" s="19" t="s">
        <v>358</v>
      </c>
      <c r="G128" s="20">
        <v>1</v>
      </c>
      <c r="H128" s="20">
        <v>3</v>
      </c>
      <c r="I128" s="18">
        <f>ROUND(G128,0)</f>
        <v>1</v>
      </c>
      <c r="J128" s="18">
        <f>ROUND(H128,0)</f>
        <v>3</v>
      </c>
      <c r="K128" s="21" t="str">
        <f>IF(I128=J128,"TAM",(CONCATENATE(G128,"/",H128)))</f>
        <v>1/3</v>
      </c>
      <c r="L128" s="22">
        <f>902.46*1/3</f>
        <v>300.82</v>
      </c>
      <c r="M128" s="23">
        <v>0</v>
      </c>
      <c r="N128" s="18" t="str">
        <f>IF(M128=0,"0",(O128*M128))</f>
        <v>0</v>
      </c>
      <c r="O128" s="18">
        <f>IF(W128=1,L128,((D128*G128/H128)-P128)/(1-V128)-S128-T128)</f>
        <v>55.16999999999999</v>
      </c>
      <c r="P128" s="18">
        <v>245.65</v>
      </c>
      <c r="Q128" s="18">
        <f>IF(U128=0,"0",O128*U128)</f>
        <v>16.26214751181163</v>
      </c>
      <c r="R128" s="24">
        <f>IF(U128=0,(((D128*G128/H128)-P128-S128-T128)/(1-V128)),(((D128*G128/H128)-P128-S128-T128)/(1-V128))-((D128*G128/H128)-P128-S128-T128)*U128/(1-V128))</f>
        <v>38.907852488188354</v>
      </c>
      <c r="S128" s="20">
        <v>0</v>
      </c>
      <c r="T128" s="20">
        <v>0</v>
      </c>
      <c r="U128" s="20">
        <v>0.294764319590568</v>
      </c>
      <c r="V128" s="20">
        <v>0</v>
      </c>
      <c r="W128" s="25">
        <f>IF(V128&gt;U128,1,V128)</f>
        <v>0</v>
      </c>
      <c r="X128" s="20">
        <v>1</v>
      </c>
      <c r="Y128" s="66">
        <v>0</v>
      </c>
      <c r="Z128" s="72" t="str">
        <f>IF(OR(W128=1,W128=0),"0",(Q128-N128))</f>
        <v>0</v>
      </c>
      <c r="AA128" s="67" t="s">
        <v>359</v>
      </c>
      <c r="AB128" s="18" t="s">
        <v>360</v>
      </c>
      <c r="AC128" s="18">
        <v>38.91</v>
      </c>
      <c r="AD128" s="18">
        <v>950.36</v>
      </c>
      <c r="AE128" s="18">
        <f>ROUND(AC128*100,0)</f>
        <v>3891</v>
      </c>
      <c r="AF128" s="18">
        <f>ROUND(AD128*100,0)</f>
        <v>95036</v>
      </c>
      <c r="AG128" s="26" t="str">
        <f>IF(AC128=AD128,"TAM",(CONCATENATE(AE128,"/",AF128)))</f>
        <v>3891/95036</v>
      </c>
      <c r="AH128" s="27" t="s">
        <v>50</v>
      </c>
      <c r="AI128" s="27" t="s">
        <v>50</v>
      </c>
      <c r="AJ128" s="80"/>
      <c r="AK128" s="55" t="s">
        <v>50</v>
      </c>
      <c r="AL128" s="2" t="s">
        <v>50</v>
      </c>
    </row>
    <row r="129" spans="1:37" ht="12.75" customHeight="1">
      <c r="A129" s="56"/>
      <c r="B129" s="28"/>
      <c r="C129" s="28"/>
      <c r="D129" s="29"/>
      <c r="E129" s="30" t="s">
        <v>50</v>
      </c>
      <c r="F129" s="30"/>
      <c r="G129" s="30"/>
      <c r="H129" s="30"/>
      <c r="I129" s="29"/>
      <c r="J129" s="29"/>
      <c r="K129" s="31"/>
      <c r="L129" s="31"/>
      <c r="M129" s="31"/>
      <c r="N129" s="31"/>
      <c r="O129" s="31"/>
      <c r="P129" s="30"/>
      <c r="Q129" s="30"/>
      <c r="R129" s="30"/>
      <c r="S129" s="30"/>
      <c r="T129" s="30"/>
      <c r="U129" s="30"/>
      <c r="V129" s="30"/>
      <c r="W129" s="30"/>
      <c r="X129" s="30"/>
      <c r="Y129" s="57"/>
      <c r="Z129" s="73"/>
      <c r="AA129" s="12"/>
      <c r="AB129" s="28"/>
      <c r="AC129" s="28"/>
      <c r="AD129" s="28"/>
      <c r="AE129" s="28"/>
      <c r="AF129" s="28"/>
      <c r="AG129" s="28"/>
      <c r="AH129" s="28"/>
      <c r="AI129" s="28"/>
      <c r="AJ129" s="80"/>
      <c r="AK129" s="57"/>
    </row>
    <row r="130" spans="1:38" ht="12.75" customHeight="1">
      <c r="A130" s="54">
        <v>163</v>
      </c>
      <c r="B130" s="17">
        <v>1415</v>
      </c>
      <c r="C130" s="17" t="s">
        <v>361</v>
      </c>
      <c r="D130" s="18">
        <v>902.46</v>
      </c>
      <c r="E130" s="19" t="s">
        <v>362</v>
      </c>
      <c r="F130" s="19" t="s">
        <v>363</v>
      </c>
      <c r="G130" s="20">
        <v>1</v>
      </c>
      <c r="H130" s="20">
        <v>3</v>
      </c>
      <c r="I130" s="18">
        <f>ROUND(G130,0)</f>
        <v>1</v>
      </c>
      <c r="J130" s="18">
        <f>ROUND(H130,0)</f>
        <v>3</v>
      </c>
      <c r="K130" s="21" t="str">
        <f>IF(I130=J130,"TAM",(CONCATENATE(G130,"/",H130)))</f>
        <v>1/3</v>
      </c>
      <c r="L130" s="22">
        <f>902.46*1/3</f>
        <v>300.82</v>
      </c>
      <c r="M130" s="23">
        <v>0</v>
      </c>
      <c r="N130" s="18" t="str">
        <f>IF(M130=0,"0",(O130*M130))</f>
        <v>0</v>
      </c>
      <c r="O130" s="18">
        <f>IF(W130=1,L130,((D130*G130/H130)-P130)/(1-V130)-S130-T130)</f>
        <v>55.16</v>
      </c>
      <c r="P130" s="18">
        <v>245.66</v>
      </c>
      <c r="Q130" s="18">
        <f>IF(U130=0,"0",O130*U130)</f>
        <v>16.259199868615728</v>
      </c>
      <c r="R130" s="24">
        <f>IF(U130=0,(((D130*G130/H130)-P130-S130-T130)/(1-V130)),(((D130*G130/H130)-P130-S130-T130)/(1-V130))-((D130*G130/H130)-P130-S130-T130)*U130/(1-V130))</f>
        <v>38.90080013138427</v>
      </c>
      <c r="S130" s="20">
        <v>0</v>
      </c>
      <c r="T130" s="20">
        <v>0</v>
      </c>
      <c r="U130" s="20">
        <v>0.294764319590568</v>
      </c>
      <c r="V130" s="20">
        <v>0</v>
      </c>
      <c r="W130" s="25">
        <f>IF(V130&gt;U130,1,V130)</f>
        <v>0</v>
      </c>
      <c r="X130" s="20">
        <v>1</v>
      </c>
      <c r="Y130" s="66">
        <v>0</v>
      </c>
      <c r="Z130" s="72" t="str">
        <f>IF(OR(W130=1,W130=0),"0",(Q130-N130))</f>
        <v>0</v>
      </c>
      <c r="AA130" s="67" t="s">
        <v>364</v>
      </c>
      <c r="AB130" s="18" t="s">
        <v>365</v>
      </c>
      <c r="AC130" s="18">
        <v>38.9</v>
      </c>
      <c r="AD130" s="18">
        <v>950.36</v>
      </c>
      <c r="AE130" s="18">
        <f>ROUND(AC130*100,0)</f>
        <v>3890</v>
      </c>
      <c r="AF130" s="18">
        <f>ROUND(AD130*100,0)</f>
        <v>95036</v>
      </c>
      <c r="AG130" s="26" t="str">
        <f>IF(AC130=AD130,"TAM",(CONCATENATE(AE130,"/",AF130)))</f>
        <v>3890/95036</v>
      </c>
      <c r="AH130" s="27" t="s">
        <v>50</v>
      </c>
      <c r="AI130" s="27" t="s">
        <v>50</v>
      </c>
      <c r="AJ130" s="80"/>
      <c r="AK130" s="55" t="s">
        <v>50</v>
      </c>
      <c r="AL130" s="2" t="s">
        <v>50</v>
      </c>
    </row>
    <row r="131" spans="1:37" ht="12.75" customHeight="1">
      <c r="A131" s="56"/>
      <c r="B131" s="28"/>
      <c r="C131" s="28"/>
      <c r="D131" s="29"/>
      <c r="E131" s="30" t="s">
        <v>50</v>
      </c>
      <c r="F131" s="30"/>
      <c r="G131" s="30"/>
      <c r="H131" s="30"/>
      <c r="I131" s="29"/>
      <c r="J131" s="29"/>
      <c r="K131" s="31"/>
      <c r="L131" s="31"/>
      <c r="M131" s="31"/>
      <c r="N131" s="31"/>
      <c r="O131" s="31"/>
      <c r="P131" s="30"/>
      <c r="Q131" s="30"/>
      <c r="R131" s="30"/>
      <c r="S131" s="30"/>
      <c r="T131" s="30"/>
      <c r="U131" s="30"/>
      <c r="V131" s="30"/>
      <c r="W131" s="30"/>
      <c r="X131" s="30"/>
      <c r="Y131" s="57"/>
      <c r="Z131" s="73"/>
      <c r="AA131" s="12"/>
      <c r="AB131" s="28"/>
      <c r="AC131" s="28"/>
      <c r="AD131" s="28"/>
      <c r="AE131" s="28"/>
      <c r="AF131" s="28"/>
      <c r="AG131" s="28"/>
      <c r="AH131" s="28"/>
      <c r="AI131" s="28"/>
      <c r="AJ131" s="81"/>
      <c r="AK131" s="57"/>
    </row>
    <row r="132" spans="1:38" ht="12.75" customHeight="1">
      <c r="A132" s="54">
        <v>35</v>
      </c>
      <c r="B132" s="17">
        <v>1179</v>
      </c>
      <c r="C132" s="17" t="s">
        <v>366</v>
      </c>
      <c r="D132" s="18">
        <v>198.23</v>
      </c>
      <c r="E132" s="19" t="s">
        <v>367</v>
      </c>
      <c r="F132" s="19" t="s">
        <v>368</v>
      </c>
      <c r="G132" s="20">
        <v>1</v>
      </c>
      <c r="H132" s="20">
        <v>1</v>
      </c>
      <c r="I132" s="18">
        <f>ROUND(G132,0)</f>
        <v>1</v>
      </c>
      <c r="J132" s="18">
        <f>ROUND(H132,0)</f>
        <v>1</v>
      </c>
      <c r="K132" s="21" t="str">
        <f>IF(I132=J132,"TAM",(CONCATENATE(G132,"/",H132)))</f>
        <v>TAM</v>
      </c>
      <c r="L132" s="22">
        <f>198.23*1/1</f>
        <v>198.23</v>
      </c>
      <c r="M132" s="23">
        <v>0</v>
      </c>
      <c r="N132" s="18" t="str">
        <f>IF(M132=0,"0",(O132*M132))</f>
        <v>0</v>
      </c>
      <c r="O132" s="18">
        <f>IF(W132=1,L132,((D132*G132/H132)-P132)/(1-V132)-S132-T132)</f>
        <v>198.23</v>
      </c>
      <c r="P132" s="18">
        <v>0</v>
      </c>
      <c r="Q132" s="18">
        <f>IF(U132=0,"0",O132*U132)</f>
        <v>58.43113107243829</v>
      </c>
      <c r="R132" s="24">
        <f>IF(U132=0,(((D132*G132/H132)-P132-S132-T132)/(1-V132)),(((D132*G132/H132)-P132-S132-T132)/(1-V132))-((D132*G132/H132)-P132-S132-T132)*U132/(1-V132))</f>
        <v>139.7988689275617</v>
      </c>
      <c r="S132" s="20">
        <v>0</v>
      </c>
      <c r="T132" s="20">
        <v>0</v>
      </c>
      <c r="U132" s="20">
        <v>0.294764319590568</v>
      </c>
      <c r="V132" s="20">
        <v>0</v>
      </c>
      <c r="W132" s="25">
        <f>IF(V132&gt;U132,1,V132)</f>
        <v>0</v>
      </c>
      <c r="X132" s="20">
        <v>1</v>
      </c>
      <c r="Y132" s="66">
        <v>0</v>
      </c>
      <c r="Z132" s="72" t="str">
        <f>IF(OR(W132=1,W132=0),"0",(Q132-N132))</f>
        <v>0</v>
      </c>
      <c r="AA132" s="67" t="s">
        <v>369</v>
      </c>
      <c r="AB132" s="18" t="s">
        <v>371</v>
      </c>
      <c r="AC132" s="18">
        <v>58.08</v>
      </c>
      <c r="AD132" s="18">
        <v>1007.56</v>
      </c>
      <c r="AE132" s="18">
        <f>ROUND(AC132*100,0)</f>
        <v>5808</v>
      </c>
      <c r="AF132" s="18">
        <f>ROUND(AD132*100,0)</f>
        <v>100756</v>
      </c>
      <c r="AG132" s="26" t="str">
        <f>IF(AC132=AD132,"TAM",(CONCATENATE(AE132,"/",AF132)))</f>
        <v>5808/100756</v>
      </c>
      <c r="AH132" s="27" t="s">
        <v>50</v>
      </c>
      <c r="AI132" s="27" t="s">
        <v>50</v>
      </c>
      <c r="AJ132" s="79" t="s">
        <v>370</v>
      </c>
      <c r="AK132" s="55" t="s">
        <v>50</v>
      </c>
      <c r="AL132" s="2" t="s">
        <v>50</v>
      </c>
    </row>
    <row r="133" spans="1:37" ht="12.75" customHeight="1">
      <c r="A133" s="56"/>
      <c r="B133" s="28"/>
      <c r="C133" s="28"/>
      <c r="D133" s="29"/>
      <c r="E133" s="30" t="s">
        <v>50</v>
      </c>
      <c r="F133" s="30"/>
      <c r="G133" s="30"/>
      <c r="H133" s="30"/>
      <c r="I133" s="29"/>
      <c r="J133" s="29"/>
      <c r="K133" s="31"/>
      <c r="L133" s="31"/>
      <c r="M133" s="31"/>
      <c r="N133" s="31"/>
      <c r="O133" s="31"/>
      <c r="P133" s="30"/>
      <c r="Q133" s="30"/>
      <c r="R133" s="30"/>
      <c r="S133" s="30"/>
      <c r="T133" s="30"/>
      <c r="U133" s="30"/>
      <c r="V133" s="30"/>
      <c r="W133" s="30"/>
      <c r="X133" s="30"/>
      <c r="Y133" s="57"/>
      <c r="Z133" s="73"/>
      <c r="AA133" s="12"/>
      <c r="AB133" s="28"/>
      <c r="AC133" s="28"/>
      <c r="AD133" s="28"/>
      <c r="AE133" s="28"/>
      <c r="AF133" s="28"/>
      <c r="AG133" s="28"/>
      <c r="AH133" s="28"/>
      <c r="AI133" s="28"/>
      <c r="AJ133" s="80"/>
      <c r="AK133" s="57"/>
    </row>
    <row r="134" spans="1:38" ht="12.75" customHeight="1">
      <c r="A134" s="54">
        <v>38</v>
      </c>
      <c r="B134" s="17">
        <v>1182</v>
      </c>
      <c r="C134" s="17" t="s">
        <v>372</v>
      </c>
      <c r="D134" s="18">
        <v>433.21</v>
      </c>
      <c r="E134" s="19" t="s">
        <v>373</v>
      </c>
      <c r="F134" s="19" t="s">
        <v>374</v>
      </c>
      <c r="G134" s="20">
        <v>1</v>
      </c>
      <c r="H134" s="20">
        <v>1</v>
      </c>
      <c r="I134" s="18">
        <f>ROUND(G134,0)</f>
        <v>1</v>
      </c>
      <c r="J134" s="18">
        <f>ROUND(H134,0)</f>
        <v>1</v>
      </c>
      <c r="K134" s="21" t="str">
        <f>IF(I134=J134,"TAM",(CONCATENATE(G134,"/",H134)))</f>
        <v>TAM</v>
      </c>
      <c r="L134" s="22">
        <f>433.21*1/1</f>
        <v>433.21</v>
      </c>
      <c r="M134" s="23">
        <v>0</v>
      </c>
      <c r="N134" s="18" t="str">
        <f>IF(M134=0,"0",(O134*M134))</f>
        <v>0</v>
      </c>
      <c r="O134" s="18">
        <f>IF(W134=1,L134,((D134*G134/H134)-P134)/(1-V134)-S134-T134)</f>
        <v>433.21</v>
      </c>
      <c r="P134" s="18">
        <v>0</v>
      </c>
      <c r="Q134" s="18">
        <f>IF(U134=0,"0",O134*U134)</f>
        <v>127.69485088982995</v>
      </c>
      <c r="R134" s="24">
        <f>IF(U134=0,(((D134*G134/H134)-P134-S134-T134)/(1-V134)),(((D134*G134/H134)-P134-S134-T134)/(1-V134))-((D134*G134/H134)-P134-S134-T134)*U134/(1-V134))</f>
        <v>305.51514911017</v>
      </c>
      <c r="S134" s="20">
        <v>0</v>
      </c>
      <c r="T134" s="20">
        <v>0</v>
      </c>
      <c r="U134" s="20">
        <v>0.294764319590568</v>
      </c>
      <c r="V134" s="20">
        <v>0</v>
      </c>
      <c r="W134" s="25">
        <f>IF(V134&gt;U134,1,V134)</f>
        <v>0</v>
      </c>
      <c r="X134" s="20">
        <v>1</v>
      </c>
      <c r="Y134" s="66">
        <v>0</v>
      </c>
      <c r="Z134" s="72" t="str">
        <f>IF(OR(W134=1,W134=0),"0",(Q134-N134))</f>
        <v>0</v>
      </c>
      <c r="AA134" s="67" t="s">
        <v>375</v>
      </c>
      <c r="AB134" s="18" t="s">
        <v>376</v>
      </c>
      <c r="AC134" s="18">
        <v>305.52</v>
      </c>
      <c r="AD134" s="18">
        <v>1007.56</v>
      </c>
      <c r="AE134" s="18">
        <f>ROUND(AC134*100,0)</f>
        <v>30552</v>
      </c>
      <c r="AF134" s="18">
        <f>ROUND(AD134*100,0)</f>
        <v>100756</v>
      </c>
      <c r="AG134" s="26" t="str">
        <f>IF(AC134=AD134,"TAM",(CONCATENATE(AE134,"/",AF134)))</f>
        <v>30552/100756</v>
      </c>
      <c r="AH134" s="27" t="s">
        <v>50</v>
      </c>
      <c r="AI134" s="27" t="s">
        <v>50</v>
      </c>
      <c r="AJ134" s="80"/>
      <c r="AK134" s="55" t="s">
        <v>50</v>
      </c>
      <c r="AL134" s="2" t="s">
        <v>50</v>
      </c>
    </row>
    <row r="135" spans="1:37" ht="12.75" customHeight="1">
      <c r="A135" s="56"/>
      <c r="B135" s="28"/>
      <c r="C135" s="28"/>
      <c r="D135" s="29"/>
      <c r="E135" s="30" t="s">
        <v>50</v>
      </c>
      <c r="F135" s="30"/>
      <c r="G135" s="30"/>
      <c r="H135" s="30"/>
      <c r="I135" s="29"/>
      <c r="J135" s="29"/>
      <c r="K135" s="31"/>
      <c r="L135" s="31"/>
      <c r="M135" s="31"/>
      <c r="N135" s="31"/>
      <c r="O135" s="31"/>
      <c r="P135" s="30"/>
      <c r="Q135" s="30"/>
      <c r="R135" s="30"/>
      <c r="S135" s="30"/>
      <c r="T135" s="30"/>
      <c r="U135" s="30"/>
      <c r="V135" s="30"/>
      <c r="W135" s="30"/>
      <c r="X135" s="30"/>
      <c r="Y135" s="57"/>
      <c r="Z135" s="73"/>
      <c r="AA135" s="12"/>
      <c r="AB135" s="28"/>
      <c r="AC135" s="28"/>
      <c r="AD135" s="28"/>
      <c r="AE135" s="28"/>
      <c r="AF135" s="28"/>
      <c r="AG135" s="28"/>
      <c r="AH135" s="28"/>
      <c r="AI135" s="28"/>
      <c r="AJ135" s="80"/>
      <c r="AK135" s="57"/>
    </row>
    <row r="136" spans="1:38" ht="12.75" customHeight="1">
      <c r="A136" s="54">
        <v>160</v>
      </c>
      <c r="B136" s="17">
        <v>1414</v>
      </c>
      <c r="C136" s="17" t="s">
        <v>377</v>
      </c>
      <c r="D136" s="18">
        <v>3724.9</v>
      </c>
      <c r="E136" s="19" t="s">
        <v>378</v>
      </c>
      <c r="F136" s="19" t="s">
        <v>379</v>
      </c>
      <c r="G136" s="20">
        <v>1</v>
      </c>
      <c r="H136" s="20">
        <v>1</v>
      </c>
      <c r="I136" s="18">
        <f>ROUND(G136,0)</f>
        <v>1</v>
      </c>
      <c r="J136" s="18">
        <f>ROUND(H136,0)</f>
        <v>1</v>
      </c>
      <c r="K136" s="21" t="str">
        <f>IF(I136=J136,"TAM",(CONCATENATE(G136,"/",H136)))</f>
        <v>TAM</v>
      </c>
      <c r="L136" s="22">
        <f>3724.9*1/1</f>
        <v>3724.9</v>
      </c>
      <c r="M136" s="23">
        <v>0</v>
      </c>
      <c r="N136" s="18" t="str">
        <f>IF(M136=0,"0",(O136*M136))</f>
        <v>0</v>
      </c>
      <c r="O136" s="18">
        <f>IF(W136=1,L136,((D136*G136/H136)-P136)/(1-V136)-S136-T136)</f>
        <v>3724.9</v>
      </c>
      <c r="P136" s="18">
        <v>0</v>
      </c>
      <c r="Q136" s="18">
        <f>IF(U136=0,"0",O136*U136)</f>
        <v>1097.9676140429067</v>
      </c>
      <c r="R136" s="24">
        <f>IF(U136=0,(((D136*G136/H136)-P136-S136-T136)/(1-V136)),(((D136*G136/H136)-P136-S136-T136)/(1-V136))-((D136*G136/H136)-P136-S136-T136)*U136/(1-V136))</f>
        <v>2626.932385957093</v>
      </c>
      <c r="S136" s="20">
        <v>0</v>
      </c>
      <c r="T136" s="20">
        <v>0</v>
      </c>
      <c r="U136" s="20">
        <v>0.294764319590568</v>
      </c>
      <c r="V136" s="20">
        <v>0</v>
      </c>
      <c r="W136" s="25">
        <f>IF(V136&gt;U136,1,V136)</f>
        <v>0</v>
      </c>
      <c r="X136" s="20">
        <v>1</v>
      </c>
      <c r="Y136" s="66">
        <v>0</v>
      </c>
      <c r="Z136" s="72" t="str">
        <f>IF(OR(W136=1,W136=0),"0",(Q136-N136))</f>
        <v>0</v>
      </c>
      <c r="AA136" s="67" t="s">
        <v>380</v>
      </c>
      <c r="AB136" s="18" t="s">
        <v>381</v>
      </c>
      <c r="AC136" s="18">
        <v>643.96</v>
      </c>
      <c r="AD136" s="18">
        <v>1007.56</v>
      </c>
      <c r="AE136" s="18">
        <f>ROUND(AC136*100,0)</f>
        <v>64396</v>
      </c>
      <c r="AF136" s="18">
        <f>ROUND(AD136*100,0)</f>
        <v>100756</v>
      </c>
      <c r="AG136" s="26" t="str">
        <f>IF(AC136=AD136,"TAM",(CONCATENATE(AE136,"/",AF136)))</f>
        <v>64396/100756</v>
      </c>
      <c r="AH136" s="27" t="s">
        <v>50</v>
      </c>
      <c r="AI136" s="27" t="s">
        <v>50</v>
      </c>
      <c r="AJ136" s="80"/>
      <c r="AK136" s="55" t="s">
        <v>50</v>
      </c>
      <c r="AL136" s="2" t="s">
        <v>50</v>
      </c>
    </row>
    <row r="137" spans="1:37" ht="12.75" customHeight="1">
      <c r="A137" s="56"/>
      <c r="B137" s="28"/>
      <c r="C137" s="28"/>
      <c r="D137" s="29"/>
      <c r="E137" s="30" t="s">
        <v>50</v>
      </c>
      <c r="F137" s="30"/>
      <c r="G137" s="30"/>
      <c r="H137" s="30"/>
      <c r="I137" s="29"/>
      <c r="J137" s="29"/>
      <c r="K137" s="31"/>
      <c r="L137" s="31"/>
      <c r="M137" s="31"/>
      <c r="N137" s="31"/>
      <c r="O137" s="31"/>
      <c r="P137" s="30"/>
      <c r="Q137" s="30"/>
      <c r="R137" s="30"/>
      <c r="S137" s="30"/>
      <c r="T137" s="30"/>
      <c r="U137" s="30"/>
      <c r="V137" s="30"/>
      <c r="W137" s="30"/>
      <c r="X137" s="30"/>
      <c r="Y137" s="57"/>
      <c r="Z137" s="73"/>
      <c r="AA137" s="12"/>
      <c r="AB137" s="28"/>
      <c r="AC137" s="28"/>
      <c r="AD137" s="28"/>
      <c r="AE137" s="28"/>
      <c r="AF137" s="28"/>
      <c r="AG137" s="28"/>
      <c r="AH137" s="28"/>
      <c r="AI137" s="28"/>
      <c r="AJ137" s="81"/>
      <c r="AK137" s="57"/>
    </row>
    <row r="138" spans="1:38" ht="12.75" customHeight="1">
      <c r="A138" s="54">
        <v>89</v>
      </c>
      <c r="B138" s="17">
        <v>1197</v>
      </c>
      <c r="C138" s="17" t="s">
        <v>382</v>
      </c>
      <c r="D138" s="18">
        <v>2045.23</v>
      </c>
      <c r="E138" s="19" t="s">
        <v>383</v>
      </c>
      <c r="F138" s="19" t="s">
        <v>384</v>
      </c>
      <c r="G138" s="20">
        <v>1</v>
      </c>
      <c r="H138" s="20">
        <v>1</v>
      </c>
      <c r="I138" s="18">
        <f>ROUND(G138,0)</f>
        <v>1</v>
      </c>
      <c r="J138" s="18">
        <f>ROUND(H138,0)</f>
        <v>1</v>
      </c>
      <c r="K138" s="21" t="str">
        <f>IF(I138=J138,"TAM",(CONCATENATE(G138,"/",H138)))</f>
        <v>TAM</v>
      </c>
      <c r="L138" s="22">
        <f>2045.23*1/1</f>
        <v>2045.23</v>
      </c>
      <c r="M138" s="23">
        <v>0</v>
      </c>
      <c r="N138" s="18" t="str">
        <f>IF(M138=0,"0",(O138*M138))</f>
        <v>0</v>
      </c>
      <c r="O138" s="18">
        <f>IF(W138=1,L138,((D138*G138/H138)-P138)/(1-V138)-S138-T138)</f>
        <v>2045.23</v>
      </c>
      <c r="P138" s="18">
        <v>0</v>
      </c>
      <c r="Q138" s="18">
        <f>IF(U138=0,"0",O138*U138)</f>
        <v>602.8608293562173</v>
      </c>
      <c r="R138" s="24">
        <f>IF(U138=0,(((D138*G138/H138)-P138-S138-T138)/(1-V138)),(((D138*G138/H138)-P138-S138-T138)/(1-V138))-((D138*G138/H138)-P138-S138-T138)*U138/(1-V138))</f>
        <v>1442.3691706437826</v>
      </c>
      <c r="S138" s="20">
        <v>0</v>
      </c>
      <c r="T138" s="20">
        <v>0</v>
      </c>
      <c r="U138" s="20">
        <v>0.294764319590568</v>
      </c>
      <c r="V138" s="20">
        <v>0</v>
      </c>
      <c r="W138" s="25">
        <f>IF(V138&gt;U138,1,V138)</f>
        <v>0</v>
      </c>
      <c r="X138" s="20">
        <v>1</v>
      </c>
      <c r="Y138" s="66">
        <v>0</v>
      </c>
      <c r="Z138" s="72" t="str">
        <f>IF(OR(W138=1,W138=0),"0",(Q138-N138))</f>
        <v>0</v>
      </c>
      <c r="AA138" s="67" t="s">
        <v>385</v>
      </c>
      <c r="AB138" s="18" t="s">
        <v>386</v>
      </c>
      <c r="AC138" s="18">
        <v>320.81</v>
      </c>
      <c r="AD138" s="18">
        <v>1724.99</v>
      </c>
      <c r="AE138" s="18">
        <f>ROUND(AC138*100,0)</f>
        <v>32081</v>
      </c>
      <c r="AF138" s="18">
        <f>ROUND(AD138*100,0)</f>
        <v>172499</v>
      </c>
      <c r="AG138" s="26" t="str">
        <f>IF(AC138=AD138,"TAM",(CONCATENATE(AE138,"/",AF138)))</f>
        <v>32081/172499</v>
      </c>
      <c r="AH138" s="27" t="s">
        <v>50</v>
      </c>
      <c r="AI138" s="27" t="s">
        <v>50</v>
      </c>
      <c r="AJ138" s="75" t="s">
        <v>722</v>
      </c>
      <c r="AK138" s="55" t="s">
        <v>50</v>
      </c>
      <c r="AL138" s="2" t="s">
        <v>50</v>
      </c>
    </row>
    <row r="139" spans="1:37" ht="12.75" customHeight="1">
      <c r="A139" s="56"/>
      <c r="B139" s="28"/>
      <c r="C139" s="28"/>
      <c r="D139" s="29"/>
      <c r="E139" s="30" t="s">
        <v>50</v>
      </c>
      <c r="F139" s="30"/>
      <c r="G139" s="30"/>
      <c r="H139" s="30"/>
      <c r="I139" s="29"/>
      <c r="J139" s="29"/>
      <c r="K139" s="31"/>
      <c r="L139" s="31"/>
      <c r="M139" s="31"/>
      <c r="N139" s="31"/>
      <c r="O139" s="31"/>
      <c r="P139" s="30"/>
      <c r="Q139" s="30"/>
      <c r="R139" s="30"/>
      <c r="S139" s="30"/>
      <c r="T139" s="30"/>
      <c r="U139" s="30"/>
      <c r="V139" s="30"/>
      <c r="W139" s="30"/>
      <c r="X139" s="30"/>
      <c r="Y139" s="57"/>
      <c r="Z139" s="73"/>
      <c r="AA139" s="12"/>
      <c r="AB139" s="28"/>
      <c r="AC139" s="28"/>
      <c r="AD139" s="28"/>
      <c r="AE139" s="28"/>
      <c r="AF139" s="28"/>
      <c r="AG139" s="28"/>
      <c r="AH139" s="28"/>
      <c r="AI139" s="28"/>
      <c r="AJ139" s="76"/>
      <c r="AK139" s="57"/>
    </row>
    <row r="140" spans="1:38" ht="12.75" customHeight="1">
      <c r="A140" s="54">
        <v>91</v>
      </c>
      <c r="B140" s="17">
        <v>1403</v>
      </c>
      <c r="C140" s="17" t="s">
        <v>387</v>
      </c>
      <c r="D140" s="18">
        <v>1040.09</v>
      </c>
      <c r="E140" s="19" t="s">
        <v>388</v>
      </c>
      <c r="F140" s="19" t="s">
        <v>389</v>
      </c>
      <c r="G140" s="20">
        <v>1</v>
      </c>
      <c r="H140" s="20">
        <v>1</v>
      </c>
      <c r="I140" s="18">
        <f>ROUND(G140,0)</f>
        <v>1</v>
      </c>
      <c r="J140" s="18">
        <f>ROUND(H140,0)</f>
        <v>1</v>
      </c>
      <c r="K140" s="21" t="str">
        <f>IF(I140=J140,"TAM",(CONCATENATE(G140,"/",H140)))</f>
        <v>TAM</v>
      </c>
      <c r="L140" s="22">
        <f>1040.09*1/1</f>
        <v>1040.09</v>
      </c>
      <c r="M140" s="23">
        <v>0</v>
      </c>
      <c r="N140" s="18" t="str">
        <f>IF(M140=0,"0",(O140*M140))</f>
        <v>0</v>
      </c>
      <c r="O140" s="18">
        <f>IF(W140=1,L140,((D140*G140/H140)-P140)/(1-V140)-S140-T140)</f>
        <v>1040.09</v>
      </c>
      <c r="P140" s="18">
        <v>0</v>
      </c>
      <c r="Q140" s="18">
        <f>IF(U140=0,"0",O140*U140)</f>
        <v>306.5814211629538</v>
      </c>
      <c r="R140" s="24">
        <f>IF(U140=0,(((D140*G140/H140)-P140-S140-T140)/(1-V140)),(((D140*G140/H140)-P140-S140-T140)/(1-V140))-((D140*G140/H140)-P140-S140-T140)*U140/(1-V140))</f>
        <v>733.5085788370461</v>
      </c>
      <c r="S140" s="20">
        <v>0</v>
      </c>
      <c r="T140" s="20">
        <v>0</v>
      </c>
      <c r="U140" s="20">
        <v>0.294764319590568</v>
      </c>
      <c r="V140" s="20">
        <v>0</v>
      </c>
      <c r="W140" s="25">
        <f>IF(V140&gt;U140,1,V140)</f>
        <v>0</v>
      </c>
      <c r="X140" s="20">
        <v>1</v>
      </c>
      <c r="Y140" s="66">
        <v>0</v>
      </c>
      <c r="Z140" s="72" t="str">
        <f>IF(OR(W140=1,W140=0),"0",(Q140-N140))</f>
        <v>0</v>
      </c>
      <c r="AA140" s="67" t="s">
        <v>390</v>
      </c>
      <c r="AB140" s="18" t="s">
        <v>391</v>
      </c>
      <c r="AC140" s="18">
        <v>733.51</v>
      </c>
      <c r="AD140" s="18">
        <v>1724.99</v>
      </c>
      <c r="AE140" s="18">
        <f>ROUND(AC140*100,0)</f>
        <v>73351</v>
      </c>
      <c r="AF140" s="18">
        <f>ROUND(AD140*100,0)</f>
        <v>172499</v>
      </c>
      <c r="AG140" s="26" t="str">
        <f>IF(AC140=AD140,"TAM",(CONCATENATE(AE140,"/",AF140)))</f>
        <v>73351/172499</v>
      </c>
      <c r="AH140" s="27" t="s">
        <v>50</v>
      </c>
      <c r="AI140" s="27" t="s">
        <v>50</v>
      </c>
      <c r="AJ140" s="76"/>
      <c r="AK140" s="55" t="s">
        <v>50</v>
      </c>
      <c r="AL140" s="2" t="s">
        <v>50</v>
      </c>
    </row>
    <row r="141" spans="1:37" ht="12.75" customHeight="1">
      <c r="A141" s="56"/>
      <c r="B141" s="28"/>
      <c r="C141" s="28"/>
      <c r="D141" s="29"/>
      <c r="E141" s="30" t="s">
        <v>50</v>
      </c>
      <c r="F141" s="30"/>
      <c r="G141" s="30"/>
      <c r="H141" s="30"/>
      <c r="I141" s="29"/>
      <c r="J141" s="29"/>
      <c r="K141" s="31"/>
      <c r="L141" s="31"/>
      <c r="M141" s="31"/>
      <c r="N141" s="31"/>
      <c r="O141" s="31"/>
      <c r="P141" s="30"/>
      <c r="Q141" s="30"/>
      <c r="R141" s="30"/>
      <c r="S141" s="30"/>
      <c r="T141" s="30"/>
      <c r="U141" s="30"/>
      <c r="V141" s="30"/>
      <c r="W141" s="30"/>
      <c r="X141" s="30"/>
      <c r="Y141" s="57"/>
      <c r="Z141" s="73"/>
      <c r="AA141" s="12"/>
      <c r="AB141" s="28"/>
      <c r="AC141" s="28"/>
      <c r="AD141" s="28"/>
      <c r="AE141" s="28"/>
      <c r="AF141" s="28"/>
      <c r="AG141" s="28"/>
      <c r="AH141" s="28"/>
      <c r="AI141" s="28"/>
      <c r="AJ141" s="76"/>
      <c r="AK141" s="57"/>
    </row>
    <row r="142" spans="1:38" ht="12.75" customHeight="1">
      <c r="A142" s="54">
        <v>92</v>
      </c>
      <c r="B142" s="17">
        <v>1404</v>
      </c>
      <c r="C142" s="17" t="s">
        <v>392</v>
      </c>
      <c r="D142" s="18">
        <v>950.98</v>
      </c>
      <c r="E142" s="19" t="s">
        <v>393</v>
      </c>
      <c r="F142" s="19" t="s">
        <v>394</v>
      </c>
      <c r="G142" s="20">
        <v>1</v>
      </c>
      <c r="H142" s="20">
        <v>1</v>
      </c>
      <c r="I142" s="18">
        <f>ROUND(G142,0)</f>
        <v>1</v>
      </c>
      <c r="J142" s="18">
        <f>ROUND(H142,0)</f>
        <v>1</v>
      </c>
      <c r="K142" s="21" t="str">
        <f>IF(I142=J142,"TAM",(CONCATENATE(G142,"/",H142)))</f>
        <v>TAM</v>
      </c>
      <c r="L142" s="22">
        <f>950.98*1/1</f>
        <v>950.98</v>
      </c>
      <c r="M142" s="23">
        <v>0</v>
      </c>
      <c r="N142" s="18" t="str">
        <f>IF(M142=0,"0",(O142*M142))</f>
        <v>0</v>
      </c>
      <c r="O142" s="18">
        <f>IF(W142=1,L142,((D142*G142/H142)-P142)/(1-V142)-S142-T142)</f>
        <v>950.98</v>
      </c>
      <c r="P142" s="18">
        <v>0</v>
      </c>
      <c r="Q142" s="18">
        <f>IF(U142=0,"0",O142*U142)</f>
        <v>280.31497264423837</v>
      </c>
      <c r="R142" s="24">
        <f>IF(U142=0,(((D142*G142/H142)-P142-S142-T142)/(1-V142)),(((D142*G142/H142)-P142-S142-T142)/(1-V142))-((D142*G142/H142)-P142-S142-T142)*U142/(1-V142))</f>
        <v>670.6650273557616</v>
      </c>
      <c r="S142" s="20">
        <v>0</v>
      </c>
      <c r="T142" s="20">
        <v>0</v>
      </c>
      <c r="U142" s="20">
        <v>0.294764319590568</v>
      </c>
      <c r="V142" s="20">
        <v>0</v>
      </c>
      <c r="W142" s="25">
        <f>IF(V142&gt;U142,1,V142)</f>
        <v>0</v>
      </c>
      <c r="X142" s="20">
        <v>1</v>
      </c>
      <c r="Y142" s="66">
        <v>0</v>
      </c>
      <c r="Z142" s="72" t="str">
        <f>IF(OR(W142=1,W142=0),"0",(Q142-N142))</f>
        <v>0</v>
      </c>
      <c r="AA142" s="67" t="s">
        <v>395</v>
      </c>
      <c r="AB142" s="18" t="s">
        <v>396</v>
      </c>
      <c r="AC142" s="18">
        <v>670.67</v>
      </c>
      <c r="AD142" s="18">
        <v>1724.99</v>
      </c>
      <c r="AE142" s="18">
        <f>ROUND(AC142*100,0)</f>
        <v>67067</v>
      </c>
      <c r="AF142" s="18">
        <f>ROUND(AD142*100,0)</f>
        <v>172499</v>
      </c>
      <c r="AG142" s="26" t="str">
        <f>IF(AC142=AD142,"TAM",(CONCATENATE(AE142,"/",AF142)))</f>
        <v>67067/172499</v>
      </c>
      <c r="AH142" s="27" t="s">
        <v>50</v>
      </c>
      <c r="AI142" s="27" t="s">
        <v>50</v>
      </c>
      <c r="AJ142" s="76"/>
      <c r="AK142" s="55" t="s">
        <v>50</v>
      </c>
      <c r="AL142" s="2" t="s">
        <v>50</v>
      </c>
    </row>
    <row r="143" spans="1:37" ht="12.75" customHeight="1">
      <c r="A143" s="56"/>
      <c r="B143" s="28"/>
      <c r="C143" s="28"/>
      <c r="D143" s="29"/>
      <c r="E143" s="30" t="s">
        <v>50</v>
      </c>
      <c r="F143" s="30"/>
      <c r="G143" s="30"/>
      <c r="H143" s="30"/>
      <c r="I143" s="29"/>
      <c r="J143" s="29"/>
      <c r="K143" s="31"/>
      <c r="L143" s="31"/>
      <c r="M143" s="31"/>
      <c r="N143" s="31"/>
      <c r="O143" s="31"/>
      <c r="P143" s="30"/>
      <c r="Q143" s="30"/>
      <c r="R143" s="30"/>
      <c r="S143" s="30"/>
      <c r="T143" s="30"/>
      <c r="U143" s="30"/>
      <c r="V143" s="30"/>
      <c r="W143" s="30"/>
      <c r="X143" s="30"/>
      <c r="Y143" s="57"/>
      <c r="Z143" s="73"/>
      <c r="AA143" s="12"/>
      <c r="AB143" s="28"/>
      <c r="AC143" s="28"/>
      <c r="AD143" s="28"/>
      <c r="AE143" s="28"/>
      <c r="AF143" s="28"/>
      <c r="AG143" s="28"/>
      <c r="AH143" s="28"/>
      <c r="AI143" s="28"/>
      <c r="AJ143" s="82"/>
      <c r="AK143" s="57"/>
    </row>
    <row r="144" spans="1:38" ht="12.75" customHeight="1">
      <c r="A144" s="54">
        <v>102</v>
      </c>
      <c r="B144" s="17">
        <v>1405</v>
      </c>
      <c r="C144" s="17" t="s">
        <v>397</v>
      </c>
      <c r="D144" s="18">
        <v>51.07</v>
      </c>
      <c r="E144" s="19" t="s">
        <v>398</v>
      </c>
      <c r="F144" s="19" t="s">
        <v>399</v>
      </c>
      <c r="G144" s="20">
        <v>1</v>
      </c>
      <c r="H144" s="20">
        <v>1</v>
      </c>
      <c r="I144" s="18">
        <f>ROUND(G144,0)</f>
        <v>1</v>
      </c>
      <c r="J144" s="18">
        <f>ROUND(H144,0)</f>
        <v>1</v>
      </c>
      <c r="K144" s="21" t="str">
        <f>IF(I144=J144,"TAM",(CONCATENATE(G144,"/",H144)))</f>
        <v>TAM</v>
      </c>
      <c r="L144" s="22">
        <f>51.07*1/1</f>
        <v>51.07</v>
      </c>
      <c r="M144" s="23">
        <v>0</v>
      </c>
      <c r="N144" s="18" t="str">
        <f>IF(M144=0,"0",(O144*M144))</f>
        <v>0</v>
      </c>
      <c r="O144" s="18">
        <f>IF(W144=1,L144,((D144*G144/H144)-P144)/(1-V144)-S144-T144)</f>
        <v>51.07</v>
      </c>
      <c r="P144" s="18">
        <v>0</v>
      </c>
      <c r="Q144" s="18">
        <f>IF(U144=0,"0",O144*U144)</f>
        <v>15.053613801490307</v>
      </c>
      <c r="R144" s="24">
        <f>IF(U144=0,(((D144*G144/H144)-P144-S144-T144)/(1-V144)),(((D144*G144/H144)-P144-S144-T144)/(1-V144))-((D144*G144/H144)-P144-S144-T144)*U144/(1-V144))</f>
        <v>36.01638619850969</v>
      </c>
      <c r="S144" s="20">
        <v>0</v>
      </c>
      <c r="T144" s="20">
        <v>0</v>
      </c>
      <c r="U144" s="20">
        <v>0.294764319590568</v>
      </c>
      <c r="V144" s="20">
        <v>0</v>
      </c>
      <c r="W144" s="25">
        <f>IF(V144&gt;U144,1,V144)</f>
        <v>0</v>
      </c>
      <c r="X144" s="20">
        <v>1</v>
      </c>
      <c r="Y144" s="66">
        <v>0</v>
      </c>
      <c r="Z144" s="72" t="str">
        <f>IF(OR(W144=1,W144=0),"0",(Q144-N144))</f>
        <v>0</v>
      </c>
      <c r="AA144" s="67" t="s">
        <v>401</v>
      </c>
      <c r="AB144" s="18" t="s">
        <v>402</v>
      </c>
      <c r="AC144" s="18">
        <v>36.02</v>
      </c>
      <c r="AD144" s="18">
        <v>2079.78</v>
      </c>
      <c r="AE144" s="18">
        <f>ROUND(AC144*100,0)</f>
        <v>3602</v>
      </c>
      <c r="AF144" s="18">
        <f>ROUND(AD144*100,0)</f>
        <v>207978</v>
      </c>
      <c r="AG144" s="26" t="str">
        <f>IF(AC144=AD144,"TAM",(CONCATENATE(AE144,"/",AF144)))</f>
        <v>3602/207978</v>
      </c>
      <c r="AH144" s="27" t="s">
        <v>50</v>
      </c>
      <c r="AI144" s="27" t="s">
        <v>50</v>
      </c>
      <c r="AJ144" s="75" t="s">
        <v>716</v>
      </c>
      <c r="AK144" s="55" t="s">
        <v>50</v>
      </c>
      <c r="AL144" s="2" t="s">
        <v>50</v>
      </c>
    </row>
    <row r="145" spans="1:37" ht="249" customHeight="1">
      <c r="A145" s="56"/>
      <c r="B145" s="28"/>
      <c r="C145" s="28"/>
      <c r="D145" s="29"/>
      <c r="E145" s="1" t="s">
        <v>400</v>
      </c>
      <c r="F145" s="30"/>
      <c r="G145" s="30"/>
      <c r="H145" s="30"/>
      <c r="I145" s="29"/>
      <c r="J145" s="29"/>
      <c r="K145" s="31"/>
      <c r="L145" s="31"/>
      <c r="M145" s="31"/>
      <c r="N145" s="31"/>
      <c r="O145" s="31"/>
      <c r="P145" s="30"/>
      <c r="Q145" s="30"/>
      <c r="R145" s="30"/>
      <c r="S145" s="30"/>
      <c r="T145" s="30"/>
      <c r="U145" s="30"/>
      <c r="V145" s="30"/>
      <c r="W145" s="30"/>
      <c r="X145" s="30"/>
      <c r="Y145" s="57"/>
      <c r="Z145" s="73"/>
      <c r="AA145" s="12"/>
      <c r="AB145" s="28"/>
      <c r="AC145" s="28"/>
      <c r="AD145" s="28"/>
      <c r="AE145" s="28"/>
      <c r="AF145" s="28"/>
      <c r="AG145" s="28"/>
      <c r="AH145" s="28"/>
      <c r="AI145" s="28"/>
      <c r="AJ145" s="76"/>
      <c r="AK145" s="57"/>
    </row>
    <row r="146" spans="1:38" ht="12.75" customHeight="1">
      <c r="A146" s="54">
        <v>119</v>
      </c>
      <c r="B146" s="17">
        <v>1406</v>
      </c>
      <c r="C146" s="17" t="s">
        <v>403</v>
      </c>
      <c r="D146" s="18">
        <v>2897.98</v>
      </c>
      <c r="E146" s="19" t="s">
        <v>404</v>
      </c>
      <c r="F146" s="19" t="s">
        <v>405</v>
      </c>
      <c r="G146" s="20">
        <v>1</v>
      </c>
      <c r="H146" s="20">
        <v>1</v>
      </c>
      <c r="I146" s="18">
        <f>ROUND(G146,0)</f>
        <v>1</v>
      </c>
      <c r="J146" s="18">
        <f>ROUND(H146,0)</f>
        <v>1</v>
      </c>
      <c r="K146" s="21" t="str">
        <f>IF(I146=J146,"TAM",(CONCATENATE(G146,"/",H146)))</f>
        <v>TAM</v>
      </c>
      <c r="L146" s="22">
        <f>2897.98*1/1</f>
        <v>2897.98</v>
      </c>
      <c r="M146" s="23">
        <v>0</v>
      </c>
      <c r="N146" s="18" t="str">
        <f>IF(M146=0,"0",(O146*M146))</f>
        <v>0</v>
      </c>
      <c r="O146" s="18">
        <f>IF(W146=1,L146,((D146*G146/H146)-P146)/(1-V146)-S146-T146)</f>
        <v>2897.98</v>
      </c>
      <c r="P146" s="18">
        <v>0</v>
      </c>
      <c r="Q146" s="18">
        <f>IF(U146=0,"0",O146*U146)</f>
        <v>854.2211028870742</v>
      </c>
      <c r="R146" s="24">
        <f>IF(U146=0,(((D146*G146/H146)-P146-S146-T146)/(1-V146)),(((D146*G146/H146)-P146-S146-T146)/(1-V146))-((D146*G146/H146)-P146-S146-T146)*U146/(1-V146))</f>
        <v>2043.7588971129258</v>
      </c>
      <c r="S146" s="20">
        <v>0</v>
      </c>
      <c r="T146" s="20">
        <v>0</v>
      </c>
      <c r="U146" s="20">
        <v>0.294764319590568</v>
      </c>
      <c r="V146" s="20">
        <v>0</v>
      </c>
      <c r="W146" s="25">
        <f>IF(V146&gt;U146,1,V146)</f>
        <v>0</v>
      </c>
      <c r="X146" s="20">
        <v>1</v>
      </c>
      <c r="Y146" s="66">
        <v>0</v>
      </c>
      <c r="Z146" s="72" t="str">
        <f>IF(OR(W146=1,W146=0),"0",(Q146-N146))</f>
        <v>0</v>
      </c>
      <c r="AA146" s="67" t="s">
        <v>407</v>
      </c>
      <c r="AB146" s="18" t="s">
        <v>408</v>
      </c>
      <c r="AC146" s="18">
        <v>2043.76</v>
      </c>
      <c r="AD146" s="18">
        <v>2079.78</v>
      </c>
      <c r="AE146" s="18">
        <f>ROUND(AC146*100,0)</f>
        <v>204376</v>
      </c>
      <c r="AF146" s="18">
        <f>ROUND(AD146*100,0)</f>
        <v>207978</v>
      </c>
      <c r="AG146" s="26" t="str">
        <f>IF(AC146=AD146,"TAM",(CONCATENATE(AE146,"/",AF146)))</f>
        <v>204376/207978</v>
      </c>
      <c r="AH146" s="27" t="s">
        <v>50</v>
      </c>
      <c r="AI146" s="27" t="s">
        <v>50</v>
      </c>
      <c r="AJ146" s="76"/>
      <c r="AK146" s="55" t="s">
        <v>50</v>
      </c>
      <c r="AL146" s="2" t="s">
        <v>50</v>
      </c>
    </row>
    <row r="147" spans="1:37" ht="248.25" customHeight="1">
      <c r="A147" s="56"/>
      <c r="B147" s="28"/>
      <c r="C147" s="28"/>
      <c r="D147" s="29"/>
      <c r="E147" s="1" t="s">
        <v>406</v>
      </c>
      <c r="F147" s="30"/>
      <c r="G147" s="30"/>
      <c r="H147" s="30"/>
      <c r="I147" s="29"/>
      <c r="J147" s="29"/>
      <c r="K147" s="31"/>
      <c r="L147" s="31"/>
      <c r="M147" s="31"/>
      <c r="N147" s="31"/>
      <c r="O147" s="31"/>
      <c r="P147" s="30"/>
      <c r="Q147" s="30"/>
      <c r="R147" s="30"/>
      <c r="S147" s="30"/>
      <c r="T147" s="30"/>
      <c r="U147" s="30"/>
      <c r="V147" s="30"/>
      <c r="W147" s="30"/>
      <c r="X147" s="30"/>
      <c r="Y147" s="57"/>
      <c r="Z147" s="73"/>
      <c r="AA147" s="12"/>
      <c r="AB147" s="28"/>
      <c r="AC147" s="28"/>
      <c r="AD147" s="28"/>
      <c r="AE147" s="28"/>
      <c r="AF147" s="28"/>
      <c r="AG147" s="28"/>
      <c r="AH147" s="28"/>
      <c r="AI147" s="28"/>
      <c r="AJ147" s="82"/>
      <c r="AK147" s="57"/>
    </row>
    <row r="148" spans="1:38" ht="12.75" customHeight="1">
      <c r="A148" s="54">
        <v>35</v>
      </c>
      <c r="B148" s="17">
        <v>1179</v>
      </c>
      <c r="C148" s="17" t="s">
        <v>409</v>
      </c>
      <c r="D148" s="18">
        <v>198.23</v>
      </c>
      <c r="E148" s="19" t="s">
        <v>410</v>
      </c>
      <c r="F148" s="19" t="s">
        <v>411</v>
      </c>
      <c r="G148" s="20">
        <v>1</v>
      </c>
      <c r="H148" s="20">
        <v>1</v>
      </c>
      <c r="I148" s="18">
        <f>ROUND(G148,0)</f>
        <v>1</v>
      </c>
      <c r="J148" s="18">
        <f>ROUND(H148,0)</f>
        <v>1</v>
      </c>
      <c r="K148" s="21" t="str">
        <f>IF(I148=J148,"TAM",(CONCATENATE(G148,"/",H148)))</f>
        <v>TAM</v>
      </c>
      <c r="L148" s="22">
        <f>198.23*1/1</f>
        <v>198.23</v>
      </c>
      <c r="M148" s="23">
        <v>0</v>
      </c>
      <c r="N148" s="18" t="str">
        <f>IF(M148=0,"0",(O148*M148))</f>
        <v>0</v>
      </c>
      <c r="O148" s="18">
        <f>IF(W148=1,L148,((D148*G148/H148)-P148)/(1-V148)-S148-T148)</f>
        <v>198.23</v>
      </c>
      <c r="P148" s="18">
        <v>0</v>
      </c>
      <c r="Q148" s="18">
        <f>IF(U148=0,"0",O148*U148)</f>
        <v>58.43113107243829</v>
      </c>
      <c r="R148" s="24">
        <f>IF(U148=0,(((D148*G148/H148)-P148-S148-T148)/(1-V148)),(((D148*G148/H148)-P148-S148-T148)/(1-V148))-((D148*G148/H148)-P148-S148-T148)*U148/(1-V148))</f>
        <v>139.7988689275617</v>
      </c>
      <c r="S148" s="20">
        <v>0</v>
      </c>
      <c r="T148" s="20">
        <v>0</v>
      </c>
      <c r="U148" s="20">
        <v>0.294764319590568</v>
      </c>
      <c r="V148" s="20">
        <v>0</v>
      </c>
      <c r="W148" s="25">
        <f>IF(V148&gt;U148,1,V148)</f>
        <v>0</v>
      </c>
      <c r="X148" s="20">
        <v>1</v>
      </c>
      <c r="Y148" s="66">
        <v>0</v>
      </c>
      <c r="Z148" s="72" t="str">
        <f>IF(OR(W148=1,W148=0),"0",(Q148-N148))</f>
        <v>0</v>
      </c>
      <c r="AA148" s="67" t="s">
        <v>412</v>
      </c>
      <c r="AB148" s="18" t="s">
        <v>413</v>
      </c>
      <c r="AC148" s="18">
        <v>81.72</v>
      </c>
      <c r="AD148" s="18">
        <v>1684.93</v>
      </c>
      <c r="AE148" s="18">
        <f>ROUND(AC148*100,0)</f>
        <v>8172</v>
      </c>
      <c r="AF148" s="18">
        <f>ROUND(AD148*100,0)</f>
        <v>168493</v>
      </c>
      <c r="AG148" s="26" t="str">
        <f>IF(AC148=AD148,"TAM",(CONCATENATE(AE148,"/",AF148)))</f>
        <v>8172/168493</v>
      </c>
      <c r="AH148" s="27" t="s">
        <v>50</v>
      </c>
      <c r="AI148" s="27" t="s">
        <v>50</v>
      </c>
      <c r="AJ148" s="75" t="s">
        <v>717</v>
      </c>
      <c r="AK148" s="55" t="s">
        <v>50</v>
      </c>
      <c r="AL148" s="2" t="s">
        <v>50</v>
      </c>
    </row>
    <row r="149" spans="1:37" ht="12.75" customHeight="1">
      <c r="A149" s="56"/>
      <c r="B149" s="28"/>
      <c r="C149" s="28"/>
      <c r="D149" s="29"/>
      <c r="E149" s="30" t="s">
        <v>50</v>
      </c>
      <c r="F149" s="30"/>
      <c r="G149" s="30"/>
      <c r="H149" s="30"/>
      <c r="I149" s="29"/>
      <c r="J149" s="29"/>
      <c r="K149" s="31"/>
      <c r="L149" s="31"/>
      <c r="M149" s="31"/>
      <c r="N149" s="31"/>
      <c r="O149" s="31"/>
      <c r="P149" s="30"/>
      <c r="Q149" s="30"/>
      <c r="R149" s="30"/>
      <c r="S149" s="30"/>
      <c r="T149" s="30"/>
      <c r="U149" s="30"/>
      <c r="V149" s="30"/>
      <c r="W149" s="30"/>
      <c r="X149" s="30"/>
      <c r="Y149" s="57"/>
      <c r="Z149" s="73"/>
      <c r="AA149" s="12"/>
      <c r="AB149" s="28"/>
      <c r="AC149" s="28"/>
      <c r="AD149" s="28"/>
      <c r="AE149" s="28"/>
      <c r="AF149" s="28"/>
      <c r="AG149" s="28"/>
      <c r="AH149" s="28"/>
      <c r="AI149" s="28"/>
      <c r="AJ149" s="76"/>
      <c r="AK149" s="57"/>
    </row>
    <row r="150" spans="1:38" ht="12.75" customHeight="1">
      <c r="A150" s="54">
        <v>187</v>
      </c>
      <c r="B150" s="17">
        <v>1180</v>
      </c>
      <c r="C150" s="17" t="s">
        <v>414</v>
      </c>
      <c r="D150" s="18">
        <v>461.58</v>
      </c>
      <c r="E150" s="19" t="s">
        <v>415</v>
      </c>
      <c r="F150" s="19" t="s">
        <v>416</v>
      </c>
      <c r="G150" s="20">
        <v>1</v>
      </c>
      <c r="H150" s="20">
        <v>1</v>
      </c>
      <c r="I150" s="18">
        <f>ROUND(G150,0)</f>
        <v>1</v>
      </c>
      <c r="J150" s="18">
        <f>ROUND(H150,0)</f>
        <v>1</v>
      </c>
      <c r="K150" s="21" t="str">
        <f>IF(I150=J150,"TAM",(CONCATENATE(G150,"/",H150)))</f>
        <v>TAM</v>
      </c>
      <c r="L150" s="22">
        <f>461.58*1/1</f>
        <v>461.58</v>
      </c>
      <c r="M150" s="23">
        <v>0</v>
      </c>
      <c r="N150" s="18" t="str">
        <f>IF(M150=0,"0",(O150*M150))</f>
        <v>0</v>
      </c>
      <c r="O150" s="18">
        <f>IF(W150=1,L150,((D150*G150/H150)-P150)/(1-V150)-S150-T150)</f>
        <v>461.58</v>
      </c>
      <c r="P150" s="18">
        <v>0</v>
      </c>
      <c r="Q150" s="18">
        <f>IF(U150=0,"0",O150*U150)</f>
        <v>136.05731463661436</v>
      </c>
      <c r="R150" s="24">
        <f>IF(U150=0,(((D150*G150/H150)-P150-S150-T150)/(1-V150)),(((D150*G150/H150)-P150-S150-T150)/(1-V150))-((D150*G150/H150)-P150-S150-T150)*U150/(1-V150))</f>
        <v>325.5226853633856</v>
      </c>
      <c r="S150" s="20">
        <v>0</v>
      </c>
      <c r="T150" s="20">
        <v>0</v>
      </c>
      <c r="U150" s="20">
        <v>0.294764319590568</v>
      </c>
      <c r="V150" s="20">
        <v>0</v>
      </c>
      <c r="W150" s="25">
        <f>IF(V150&gt;U150,1,V150)</f>
        <v>0</v>
      </c>
      <c r="X150" s="20">
        <v>1</v>
      </c>
      <c r="Y150" s="66">
        <v>0</v>
      </c>
      <c r="Z150" s="72" t="str">
        <f>IF(OR(W150=1,W150=0),"0",(Q150-N150))</f>
        <v>0</v>
      </c>
      <c r="AA150" s="67" t="s">
        <v>417</v>
      </c>
      <c r="AB150" s="18" t="s">
        <v>418</v>
      </c>
      <c r="AC150" s="18">
        <v>325.52</v>
      </c>
      <c r="AD150" s="18">
        <v>1684.93</v>
      </c>
      <c r="AE150" s="18">
        <f>ROUND(AC150*100,0)</f>
        <v>32552</v>
      </c>
      <c r="AF150" s="18">
        <f>ROUND(AD150*100,0)</f>
        <v>168493</v>
      </c>
      <c r="AG150" s="26" t="str">
        <f>IF(AC150=AD150,"TAM",(CONCATENATE(AE150,"/",AF150)))</f>
        <v>32552/168493</v>
      </c>
      <c r="AH150" s="27" t="s">
        <v>50</v>
      </c>
      <c r="AI150" s="27" t="s">
        <v>50</v>
      </c>
      <c r="AJ150" s="76"/>
      <c r="AK150" s="55" t="s">
        <v>50</v>
      </c>
      <c r="AL150" s="2" t="s">
        <v>50</v>
      </c>
    </row>
    <row r="151" spans="1:37" ht="12.75" customHeight="1">
      <c r="A151" s="56"/>
      <c r="B151" s="28"/>
      <c r="C151" s="28"/>
      <c r="D151" s="29"/>
      <c r="E151" s="30" t="s">
        <v>50</v>
      </c>
      <c r="F151" s="30"/>
      <c r="G151" s="30"/>
      <c r="H151" s="30"/>
      <c r="I151" s="29"/>
      <c r="J151" s="29"/>
      <c r="K151" s="31"/>
      <c r="L151" s="31"/>
      <c r="M151" s="31"/>
      <c r="N151" s="31"/>
      <c r="O151" s="31"/>
      <c r="P151" s="30"/>
      <c r="Q151" s="30"/>
      <c r="R151" s="30"/>
      <c r="S151" s="30"/>
      <c r="T151" s="30"/>
      <c r="U151" s="30"/>
      <c r="V151" s="30"/>
      <c r="W151" s="30"/>
      <c r="X151" s="30"/>
      <c r="Y151" s="57"/>
      <c r="Z151" s="73"/>
      <c r="AA151" s="12"/>
      <c r="AB151" s="28"/>
      <c r="AC151" s="28"/>
      <c r="AD151" s="28"/>
      <c r="AE151" s="28"/>
      <c r="AF151" s="28"/>
      <c r="AG151" s="28"/>
      <c r="AH151" s="28"/>
      <c r="AI151" s="28"/>
      <c r="AJ151" s="76"/>
      <c r="AK151" s="57"/>
    </row>
    <row r="152" spans="1:38" ht="12.75" customHeight="1">
      <c r="A152" s="54">
        <v>188</v>
      </c>
      <c r="B152" s="17">
        <v>1181</v>
      </c>
      <c r="C152" s="17" t="s">
        <v>419</v>
      </c>
      <c r="D152" s="18">
        <v>501.25</v>
      </c>
      <c r="E152" s="19" t="s">
        <v>420</v>
      </c>
      <c r="F152" s="19" t="s">
        <v>421</v>
      </c>
      <c r="G152" s="20">
        <v>1</v>
      </c>
      <c r="H152" s="20">
        <v>1</v>
      </c>
      <c r="I152" s="18">
        <f>ROUND(G152,0)</f>
        <v>1</v>
      </c>
      <c r="J152" s="18">
        <f>ROUND(H152,0)</f>
        <v>1</v>
      </c>
      <c r="K152" s="21" t="str">
        <f>IF(I152=J152,"TAM",(CONCATENATE(G152,"/",H152)))</f>
        <v>TAM</v>
      </c>
      <c r="L152" s="22">
        <f>501.25*1/1</f>
        <v>501.25</v>
      </c>
      <c r="M152" s="23">
        <v>0</v>
      </c>
      <c r="N152" s="18" t="str">
        <f>IF(M152=0,"0",(O152*M152))</f>
        <v>0</v>
      </c>
      <c r="O152" s="18">
        <f>IF(W152=1,L152,((D152*G152/H152)-P152)/(1-V152)-S152-T152)</f>
        <v>501.25</v>
      </c>
      <c r="P152" s="18">
        <v>0</v>
      </c>
      <c r="Q152" s="18">
        <f>IF(U152=0,"0",O152*U152)</f>
        <v>147.7506151947722</v>
      </c>
      <c r="R152" s="24">
        <f>IF(U152=0,(((D152*G152/H152)-P152-S152-T152)/(1-V152)),(((D152*G152/H152)-P152-S152-T152)/(1-V152))-((D152*G152/H152)-P152-S152-T152)*U152/(1-V152))</f>
        <v>353.4993848052278</v>
      </c>
      <c r="S152" s="20">
        <v>0</v>
      </c>
      <c r="T152" s="20">
        <v>0</v>
      </c>
      <c r="U152" s="20">
        <v>0.294764319590568</v>
      </c>
      <c r="V152" s="20">
        <v>0</v>
      </c>
      <c r="W152" s="25">
        <f>IF(V152&gt;U152,1,V152)</f>
        <v>0</v>
      </c>
      <c r="X152" s="20">
        <v>1</v>
      </c>
      <c r="Y152" s="66">
        <v>0</v>
      </c>
      <c r="Z152" s="72" t="str">
        <f>IF(OR(W152=1,W152=0),"0",(Q152-N152))</f>
        <v>0</v>
      </c>
      <c r="AA152" s="67" t="s">
        <v>422</v>
      </c>
      <c r="AB152" s="18" t="s">
        <v>423</v>
      </c>
      <c r="AC152" s="18">
        <v>353.5</v>
      </c>
      <c r="AD152" s="18">
        <v>1684.93</v>
      </c>
      <c r="AE152" s="18">
        <f>ROUND(AC152*100,0)</f>
        <v>35350</v>
      </c>
      <c r="AF152" s="18">
        <f>ROUND(AD152*100,0)</f>
        <v>168493</v>
      </c>
      <c r="AG152" s="26" t="str">
        <f>IF(AC152=AD152,"TAM",(CONCATENATE(AE152,"/",AF152)))</f>
        <v>35350/168493</v>
      </c>
      <c r="AH152" s="27" t="s">
        <v>50</v>
      </c>
      <c r="AI152" s="27" t="s">
        <v>50</v>
      </c>
      <c r="AJ152" s="76"/>
      <c r="AK152" s="55" t="s">
        <v>50</v>
      </c>
      <c r="AL152" s="2" t="s">
        <v>50</v>
      </c>
    </row>
    <row r="153" spans="1:37" ht="12.75" customHeight="1">
      <c r="A153" s="56"/>
      <c r="B153" s="28"/>
      <c r="C153" s="28"/>
      <c r="D153" s="29"/>
      <c r="E153" s="30" t="s">
        <v>50</v>
      </c>
      <c r="F153" s="30"/>
      <c r="G153" s="30"/>
      <c r="H153" s="30"/>
      <c r="I153" s="29"/>
      <c r="J153" s="29"/>
      <c r="K153" s="31"/>
      <c r="L153" s="31"/>
      <c r="M153" s="31"/>
      <c r="N153" s="31"/>
      <c r="O153" s="31"/>
      <c r="P153" s="30"/>
      <c r="Q153" s="30"/>
      <c r="R153" s="30"/>
      <c r="S153" s="30"/>
      <c r="T153" s="30"/>
      <c r="U153" s="30"/>
      <c r="V153" s="30"/>
      <c r="W153" s="30"/>
      <c r="X153" s="30"/>
      <c r="Y153" s="57"/>
      <c r="Z153" s="73"/>
      <c r="AA153" s="12"/>
      <c r="AB153" s="28"/>
      <c r="AC153" s="28"/>
      <c r="AD153" s="28"/>
      <c r="AE153" s="28"/>
      <c r="AF153" s="28"/>
      <c r="AG153" s="28"/>
      <c r="AH153" s="28"/>
      <c r="AI153" s="28"/>
      <c r="AJ153" s="76"/>
      <c r="AK153" s="57"/>
    </row>
    <row r="154" spans="1:38" ht="12.75" customHeight="1">
      <c r="A154" s="54">
        <v>145</v>
      </c>
      <c r="B154" s="17">
        <v>1407</v>
      </c>
      <c r="C154" s="17" t="s">
        <v>424</v>
      </c>
      <c r="D154" s="18">
        <v>663.67</v>
      </c>
      <c r="E154" s="19" t="s">
        <v>425</v>
      </c>
      <c r="F154" s="19" t="s">
        <v>426</v>
      </c>
      <c r="G154" s="20">
        <v>1</v>
      </c>
      <c r="H154" s="20">
        <v>1</v>
      </c>
      <c r="I154" s="18">
        <f>ROUND(G154,0)</f>
        <v>1</v>
      </c>
      <c r="J154" s="18">
        <f>ROUND(H154,0)</f>
        <v>1</v>
      </c>
      <c r="K154" s="21" t="str">
        <f>IF(I154=J154,"TAM",(CONCATENATE(G154,"/",H154)))</f>
        <v>TAM</v>
      </c>
      <c r="L154" s="22">
        <f>663.67*1/1</f>
        <v>663.67</v>
      </c>
      <c r="M154" s="23">
        <v>0</v>
      </c>
      <c r="N154" s="18" t="str">
        <f>IF(M154=0,"0",(O154*M154))</f>
        <v>0</v>
      </c>
      <c r="O154" s="18">
        <f>IF(W154=1,L154,((D154*G154/H154)-P154)/(1-V154)-S154-T154)</f>
        <v>663.67</v>
      </c>
      <c r="P154" s="18">
        <v>0</v>
      </c>
      <c r="Q154" s="18">
        <f>IF(U154=0,"0",O154*U154)</f>
        <v>195.62623598267223</v>
      </c>
      <c r="R154" s="24">
        <f>IF(U154=0,(((D154*G154/H154)-P154-S154-T154)/(1-V154)),(((D154*G154/H154)-P154-S154-T154)/(1-V154))-((D154*G154/H154)-P154-S154-T154)*U154/(1-V154))</f>
        <v>468.0437640173277</v>
      </c>
      <c r="S154" s="20">
        <v>0</v>
      </c>
      <c r="T154" s="20">
        <v>0</v>
      </c>
      <c r="U154" s="20">
        <v>0.294764319590568</v>
      </c>
      <c r="V154" s="20">
        <v>0</v>
      </c>
      <c r="W154" s="25">
        <f>IF(V154&gt;U154,1,V154)</f>
        <v>0</v>
      </c>
      <c r="X154" s="20">
        <v>1</v>
      </c>
      <c r="Y154" s="66">
        <v>0</v>
      </c>
      <c r="Z154" s="72" t="str">
        <f>IF(OR(W154=1,W154=0),"0",(Q154-N154))</f>
        <v>0</v>
      </c>
      <c r="AA154" s="67" t="s">
        <v>427</v>
      </c>
      <c r="AB154" s="18" t="s">
        <v>428</v>
      </c>
      <c r="AC154" s="18">
        <v>468.04</v>
      </c>
      <c r="AD154" s="18">
        <v>1684.93</v>
      </c>
      <c r="AE154" s="18">
        <f>ROUND(AC154*100,0)</f>
        <v>46804</v>
      </c>
      <c r="AF154" s="18">
        <f>ROUND(AD154*100,0)</f>
        <v>168493</v>
      </c>
      <c r="AG154" s="26" t="str">
        <f>IF(AC154=AD154,"TAM",(CONCATENATE(AE154,"/",AF154)))</f>
        <v>46804/168493</v>
      </c>
      <c r="AH154" s="27" t="s">
        <v>50</v>
      </c>
      <c r="AI154" s="27" t="s">
        <v>50</v>
      </c>
      <c r="AJ154" s="76"/>
      <c r="AK154" s="55" t="s">
        <v>50</v>
      </c>
      <c r="AL154" s="2" t="s">
        <v>50</v>
      </c>
    </row>
    <row r="155" spans="1:37" ht="12.75" customHeight="1">
      <c r="A155" s="56"/>
      <c r="B155" s="28"/>
      <c r="C155" s="28"/>
      <c r="D155" s="29"/>
      <c r="E155" s="30" t="s">
        <v>50</v>
      </c>
      <c r="F155" s="30"/>
      <c r="G155" s="30"/>
      <c r="H155" s="30"/>
      <c r="I155" s="29"/>
      <c r="J155" s="29"/>
      <c r="K155" s="31"/>
      <c r="L155" s="31"/>
      <c r="M155" s="31"/>
      <c r="N155" s="31"/>
      <c r="O155" s="31"/>
      <c r="P155" s="30"/>
      <c r="Q155" s="30"/>
      <c r="R155" s="30"/>
      <c r="S155" s="30"/>
      <c r="T155" s="30"/>
      <c r="U155" s="30"/>
      <c r="V155" s="30"/>
      <c r="W155" s="30"/>
      <c r="X155" s="30"/>
      <c r="Y155" s="57"/>
      <c r="Z155" s="73"/>
      <c r="AA155" s="12"/>
      <c r="AB155" s="28"/>
      <c r="AC155" s="28"/>
      <c r="AD155" s="28"/>
      <c r="AE155" s="28"/>
      <c r="AF155" s="28"/>
      <c r="AG155" s="28"/>
      <c r="AH155" s="28"/>
      <c r="AI155" s="28"/>
      <c r="AJ155" s="76"/>
      <c r="AK155" s="57"/>
    </row>
    <row r="156" spans="1:38" ht="12.75" customHeight="1">
      <c r="A156" s="54">
        <v>146</v>
      </c>
      <c r="B156" s="17">
        <v>1408</v>
      </c>
      <c r="C156" s="17" t="s">
        <v>429</v>
      </c>
      <c r="D156" s="18">
        <v>646.81</v>
      </c>
      <c r="E156" s="19" t="s">
        <v>430</v>
      </c>
      <c r="F156" s="19" t="s">
        <v>431</v>
      </c>
      <c r="G156" s="20">
        <v>1</v>
      </c>
      <c r="H156" s="20">
        <v>1</v>
      </c>
      <c r="I156" s="18">
        <f>ROUND(G156,0)</f>
        <v>1</v>
      </c>
      <c r="J156" s="18">
        <f>ROUND(H156,0)</f>
        <v>1</v>
      </c>
      <c r="K156" s="21" t="str">
        <f>IF(I156=J156,"TAM",(CONCATENATE(G156,"/",H156)))</f>
        <v>TAM</v>
      </c>
      <c r="L156" s="22">
        <f>646.81*1/1</f>
        <v>646.81</v>
      </c>
      <c r="M156" s="23">
        <v>0</v>
      </c>
      <c r="N156" s="18" t="str">
        <f>IF(M156=0,"0",(O156*M156))</f>
        <v>0</v>
      </c>
      <c r="O156" s="18">
        <f>IF(W156=1,L156,((D156*G156/H156)-P156)/(1-V156)-S156-T156)</f>
        <v>646.81</v>
      </c>
      <c r="P156" s="18">
        <v>0</v>
      </c>
      <c r="Q156" s="18">
        <f>IF(U156=0,"0",O156*U156)</f>
        <v>190.65650955437525</v>
      </c>
      <c r="R156" s="24">
        <f>IF(U156=0,(((D156*G156/H156)-P156-S156-T156)/(1-V156)),(((D156*G156/H156)-P156-S156-T156)/(1-V156))-((D156*G156/H156)-P156-S156-T156)*U156/(1-V156))</f>
        <v>456.1534904456247</v>
      </c>
      <c r="S156" s="20">
        <v>0</v>
      </c>
      <c r="T156" s="20">
        <v>0</v>
      </c>
      <c r="U156" s="20">
        <v>0.294764319590568</v>
      </c>
      <c r="V156" s="20">
        <v>0</v>
      </c>
      <c r="W156" s="25">
        <f>IF(V156&gt;U156,1,V156)</f>
        <v>0</v>
      </c>
      <c r="X156" s="20">
        <v>1</v>
      </c>
      <c r="Y156" s="66">
        <v>0</v>
      </c>
      <c r="Z156" s="72" t="str">
        <f>IF(OR(W156=1,W156=0),"0",(Q156-N156))</f>
        <v>0</v>
      </c>
      <c r="AA156" s="67" t="s">
        <v>432</v>
      </c>
      <c r="AB156" s="18" t="s">
        <v>433</v>
      </c>
      <c r="AC156" s="18">
        <v>456.15</v>
      </c>
      <c r="AD156" s="18">
        <v>1684.93</v>
      </c>
      <c r="AE156" s="18">
        <f>ROUND(AC156*100,0)</f>
        <v>45615</v>
      </c>
      <c r="AF156" s="18">
        <f>ROUND(AD156*100,0)</f>
        <v>168493</v>
      </c>
      <c r="AG156" s="26" t="str">
        <f>IF(AC156=AD156,"TAM",(CONCATENATE(AE156,"/",AF156)))</f>
        <v>45615/168493</v>
      </c>
      <c r="AH156" s="27" t="s">
        <v>50</v>
      </c>
      <c r="AI156" s="27" t="s">
        <v>50</v>
      </c>
      <c r="AJ156" s="76"/>
      <c r="AK156" s="55" t="s">
        <v>50</v>
      </c>
      <c r="AL156" s="2" t="s">
        <v>50</v>
      </c>
    </row>
    <row r="157" spans="1:37" ht="12.75" customHeight="1">
      <c r="A157" s="56"/>
      <c r="B157" s="28"/>
      <c r="C157" s="28"/>
      <c r="D157" s="29"/>
      <c r="E157" s="30" t="s">
        <v>50</v>
      </c>
      <c r="F157" s="30"/>
      <c r="G157" s="30"/>
      <c r="H157" s="30"/>
      <c r="I157" s="29"/>
      <c r="J157" s="29"/>
      <c r="K157" s="31"/>
      <c r="L157" s="31"/>
      <c r="M157" s="31"/>
      <c r="N157" s="31"/>
      <c r="O157" s="31"/>
      <c r="P157" s="30"/>
      <c r="Q157" s="30"/>
      <c r="R157" s="30"/>
      <c r="S157" s="30"/>
      <c r="T157" s="30"/>
      <c r="U157" s="30"/>
      <c r="V157" s="30"/>
      <c r="W157" s="30"/>
      <c r="X157" s="30"/>
      <c r="Y157" s="57"/>
      <c r="Z157" s="73"/>
      <c r="AA157" s="12"/>
      <c r="AB157" s="28"/>
      <c r="AC157" s="28"/>
      <c r="AD157" s="28"/>
      <c r="AE157" s="28"/>
      <c r="AF157" s="28"/>
      <c r="AG157" s="28"/>
      <c r="AH157" s="28"/>
      <c r="AI157" s="28"/>
      <c r="AJ157" s="82"/>
      <c r="AK157" s="57"/>
    </row>
    <row r="158" spans="1:38" ht="12.75" customHeight="1">
      <c r="A158" s="54">
        <v>33</v>
      </c>
      <c r="B158" s="17">
        <v>1177</v>
      </c>
      <c r="C158" s="17" t="s">
        <v>434</v>
      </c>
      <c r="D158" s="18">
        <v>143.57</v>
      </c>
      <c r="E158" s="19" t="s">
        <v>435</v>
      </c>
      <c r="F158" s="19" t="s">
        <v>436</v>
      </c>
      <c r="G158" s="20">
        <v>1</v>
      </c>
      <c r="H158" s="20">
        <v>1</v>
      </c>
      <c r="I158" s="18">
        <f>ROUND(G158,0)</f>
        <v>1</v>
      </c>
      <c r="J158" s="18">
        <f>ROUND(H158,0)</f>
        <v>1</v>
      </c>
      <c r="K158" s="21" t="str">
        <f>IF(I158=J158,"TAM",(CONCATENATE(G158,"/",H158)))</f>
        <v>TAM</v>
      </c>
      <c r="L158" s="22">
        <f>143.57*1/1</f>
        <v>143.57</v>
      </c>
      <c r="M158" s="23">
        <v>0</v>
      </c>
      <c r="N158" s="18" t="str">
        <f>IF(M158=0,"0",(O158*M158))</f>
        <v>0</v>
      </c>
      <c r="O158" s="18">
        <f>IF(W158=1,L158,((D158*G158/H158)-P158)/(1-V158)-S158-T158)</f>
        <v>143.57</v>
      </c>
      <c r="P158" s="18">
        <v>0</v>
      </c>
      <c r="Q158" s="18">
        <f>IF(U158=0,"0",O158*U158)</f>
        <v>42.319313363617844</v>
      </c>
      <c r="R158" s="24">
        <f>IF(U158=0,(((D158*G158/H158)-P158-S158-T158)/(1-V158)),(((D158*G158/H158)-P158-S158-T158)/(1-V158))-((D158*G158/H158)-P158-S158-T158)*U158/(1-V158))</f>
        <v>101.25068663638214</v>
      </c>
      <c r="S158" s="20">
        <v>0</v>
      </c>
      <c r="T158" s="20">
        <v>0</v>
      </c>
      <c r="U158" s="20">
        <v>0.294764319590568</v>
      </c>
      <c r="V158" s="20">
        <v>0</v>
      </c>
      <c r="W158" s="25">
        <f>IF(V158&gt;U158,1,V158)</f>
        <v>0</v>
      </c>
      <c r="X158" s="20">
        <v>1</v>
      </c>
      <c r="Y158" s="66">
        <v>0</v>
      </c>
      <c r="Z158" s="72" t="str">
        <f>IF(OR(W158=1,W158=0),"0",(Q158-N158))</f>
        <v>0</v>
      </c>
      <c r="AA158" s="67" t="s">
        <v>437</v>
      </c>
      <c r="AB158" s="18" t="s">
        <v>438</v>
      </c>
      <c r="AC158" s="18">
        <v>101.25</v>
      </c>
      <c r="AD158" s="18">
        <v>1005.43</v>
      </c>
      <c r="AE158" s="18">
        <f>ROUND(AC158*100,0)</f>
        <v>10125</v>
      </c>
      <c r="AF158" s="18">
        <f>ROUND(AD158*100,0)</f>
        <v>100543</v>
      </c>
      <c r="AG158" s="26" t="str">
        <f>IF(AC158=AD158,"TAM",(CONCATENATE(AE158,"/",AF158)))</f>
        <v>10125/100543</v>
      </c>
      <c r="AH158" s="27" t="s">
        <v>50</v>
      </c>
      <c r="AI158" s="27" t="s">
        <v>50</v>
      </c>
      <c r="AJ158" s="75" t="s">
        <v>718</v>
      </c>
      <c r="AK158" s="55" t="s">
        <v>50</v>
      </c>
      <c r="AL158" s="2" t="s">
        <v>50</v>
      </c>
    </row>
    <row r="159" spans="1:37" ht="12.75" customHeight="1">
      <c r="A159" s="56"/>
      <c r="B159" s="28"/>
      <c r="C159" s="28"/>
      <c r="D159" s="29"/>
      <c r="E159" s="30" t="s">
        <v>50</v>
      </c>
      <c r="F159" s="30"/>
      <c r="G159" s="30"/>
      <c r="H159" s="30"/>
      <c r="I159" s="29"/>
      <c r="J159" s="29"/>
      <c r="K159" s="31"/>
      <c r="L159" s="31"/>
      <c r="M159" s="31"/>
      <c r="N159" s="31"/>
      <c r="O159" s="31"/>
      <c r="P159" s="30"/>
      <c r="Q159" s="30"/>
      <c r="R159" s="30"/>
      <c r="S159" s="30"/>
      <c r="T159" s="30"/>
      <c r="U159" s="30"/>
      <c r="V159" s="30"/>
      <c r="W159" s="30"/>
      <c r="X159" s="30"/>
      <c r="Y159" s="57"/>
      <c r="Z159" s="73"/>
      <c r="AA159" s="12"/>
      <c r="AB159" s="28"/>
      <c r="AC159" s="28"/>
      <c r="AD159" s="28"/>
      <c r="AE159" s="28"/>
      <c r="AF159" s="28"/>
      <c r="AG159" s="28"/>
      <c r="AH159" s="28"/>
      <c r="AI159" s="28"/>
      <c r="AJ159" s="76"/>
      <c r="AK159" s="57"/>
    </row>
    <row r="160" spans="1:38" ht="12.75" customHeight="1">
      <c r="A160" s="54">
        <v>34</v>
      </c>
      <c r="B160" s="17">
        <v>1178</v>
      </c>
      <c r="C160" s="17" t="s">
        <v>439</v>
      </c>
      <c r="D160" s="18">
        <v>166.56</v>
      </c>
      <c r="E160" s="19" t="s">
        <v>440</v>
      </c>
      <c r="F160" s="19" t="s">
        <v>441</v>
      </c>
      <c r="G160" s="20">
        <v>1</v>
      </c>
      <c r="H160" s="20">
        <v>1</v>
      </c>
      <c r="I160" s="18">
        <f>ROUND(G160,0)</f>
        <v>1</v>
      </c>
      <c r="J160" s="18">
        <f>ROUND(H160,0)</f>
        <v>1</v>
      </c>
      <c r="K160" s="21" t="str">
        <f>IF(I160=J160,"TAM",(CONCATENATE(G160,"/",H160)))</f>
        <v>TAM</v>
      </c>
      <c r="L160" s="22">
        <f>166.56*1/1</f>
        <v>166.56</v>
      </c>
      <c r="M160" s="23">
        <v>0</v>
      </c>
      <c r="N160" s="18" t="str">
        <f>IF(M160=0,"0",(O160*M160))</f>
        <v>0</v>
      </c>
      <c r="O160" s="18">
        <f>IF(W160=1,L160,((D160*G160/H160)-P160)/(1-V160)-S160-T160)</f>
        <v>166.56</v>
      </c>
      <c r="P160" s="18">
        <v>0</v>
      </c>
      <c r="Q160" s="18">
        <f>IF(U160=0,"0",O160*U160)</f>
        <v>49.095945071005005</v>
      </c>
      <c r="R160" s="24">
        <f>IF(U160=0,(((D160*G160/H160)-P160-S160-T160)/(1-V160)),(((D160*G160/H160)-P160-S160-T160)/(1-V160))-((D160*G160/H160)-P160-S160-T160)*U160/(1-V160))</f>
        <v>117.464054928995</v>
      </c>
      <c r="S160" s="20">
        <v>0</v>
      </c>
      <c r="T160" s="20">
        <v>0</v>
      </c>
      <c r="U160" s="20">
        <v>0.294764319590568</v>
      </c>
      <c r="V160" s="20">
        <v>0</v>
      </c>
      <c r="W160" s="25">
        <f>IF(V160&gt;U160,1,V160)</f>
        <v>0</v>
      </c>
      <c r="X160" s="20">
        <v>1</v>
      </c>
      <c r="Y160" s="66">
        <v>0</v>
      </c>
      <c r="Z160" s="72" t="str">
        <f>IF(OR(W160=1,W160=0),"0",(Q160-N160))</f>
        <v>0</v>
      </c>
      <c r="AA160" s="67" t="s">
        <v>442</v>
      </c>
      <c r="AB160" s="18" t="s">
        <v>443</v>
      </c>
      <c r="AC160" s="18">
        <v>117.46</v>
      </c>
      <c r="AD160" s="18">
        <v>1005.43</v>
      </c>
      <c r="AE160" s="18">
        <f>ROUND(AC160*100,0)</f>
        <v>11746</v>
      </c>
      <c r="AF160" s="18">
        <f>ROUND(AD160*100,0)</f>
        <v>100543</v>
      </c>
      <c r="AG160" s="26" t="str">
        <f>IF(AC160=AD160,"TAM",(CONCATENATE(AE160,"/",AF160)))</f>
        <v>11746/100543</v>
      </c>
      <c r="AH160" s="27" t="s">
        <v>50</v>
      </c>
      <c r="AI160" s="27" t="s">
        <v>50</v>
      </c>
      <c r="AJ160" s="76"/>
      <c r="AK160" s="55" t="s">
        <v>50</v>
      </c>
      <c r="AL160" s="2" t="s">
        <v>50</v>
      </c>
    </row>
    <row r="161" spans="1:37" ht="12.75" customHeight="1">
      <c r="A161" s="56"/>
      <c r="B161" s="28"/>
      <c r="C161" s="28"/>
      <c r="D161" s="29"/>
      <c r="E161" s="30" t="s">
        <v>50</v>
      </c>
      <c r="F161" s="30"/>
      <c r="G161" s="30"/>
      <c r="H161" s="30"/>
      <c r="I161" s="29"/>
      <c r="J161" s="29"/>
      <c r="K161" s="31"/>
      <c r="L161" s="31"/>
      <c r="M161" s="31"/>
      <c r="N161" s="31"/>
      <c r="O161" s="31"/>
      <c r="P161" s="30"/>
      <c r="Q161" s="30"/>
      <c r="R161" s="30"/>
      <c r="S161" s="30"/>
      <c r="T161" s="30"/>
      <c r="U161" s="30"/>
      <c r="V161" s="30"/>
      <c r="W161" s="30"/>
      <c r="X161" s="30"/>
      <c r="Y161" s="57"/>
      <c r="Z161" s="73"/>
      <c r="AA161" s="12"/>
      <c r="AB161" s="28"/>
      <c r="AC161" s="28"/>
      <c r="AD161" s="28"/>
      <c r="AE161" s="28"/>
      <c r="AF161" s="28"/>
      <c r="AG161" s="28"/>
      <c r="AH161" s="28"/>
      <c r="AI161" s="28"/>
      <c r="AJ161" s="76"/>
      <c r="AK161" s="57"/>
    </row>
    <row r="162" spans="1:38" ht="12.75" customHeight="1">
      <c r="A162" s="54">
        <v>147</v>
      </c>
      <c r="B162" s="17">
        <v>1409</v>
      </c>
      <c r="C162" s="17" t="s">
        <v>444</v>
      </c>
      <c r="D162" s="18">
        <v>336.14</v>
      </c>
      <c r="E162" s="19" t="s">
        <v>445</v>
      </c>
      <c r="F162" s="19" t="s">
        <v>446</v>
      </c>
      <c r="G162" s="20">
        <v>1</v>
      </c>
      <c r="H162" s="20">
        <v>1</v>
      </c>
      <c r="I162" s="18">
        <f>ROUND(G162,0)</f>
        <v>1</v>
      </c>
      <c r="J162" s="18">
        <f>ROUND(H162,0)</f>
        <v>1</v>
      </c>
      <c r="K162" s="21" t="str">
        <f>IF(I162=J162,"TAM",(CONCATENATE(G162,"/",H162)))</f>
        <v>TAM</v>
      </c>
      <c r="L162" s="22">
        <f>336.14*1/1</f>
        <v>336.14</v>
      </c>
      <c r="M162" s="23">
        <v>0</v>
      </c>
      <c r="N162" s="18" t="str">
        <f>IF(M162=0,"0",(O162*M162))</f>
        <v>0</v>
      </c>
      <c r="O162" s="18">
        <f>IF(W162=1,L162,((D162*G162/H162)-P162)/(1-V162)-S162-T162)</f>
        <v>336.14</v>
      </c>
      <c r="P162" s="18">
        <v>0</v>
      </c>
      <c r="Q162" s="18">
        <f>IF(U162=0,"0",O162*U162)</f>
        <v>99.08207838717351</v>
      </c>
      <c r="R162" s="24">
        <f>IF(U162=0,(((D162*G162/H162)-P162-S162-T162)/(1-V162)),(((D162*G162/H162)-P162-S162-T162)/(1-V162))-((D162*G162/H162)-P162-S162-T162)*U162/(1-V162))</f>
        <v>237.05792161282648</v>
      </c>
      <c r="S162" s="20">
        <v>0</v>
      </c>
      <c r="T162" s="20">
        <v>0</v>
      </c>
      <c r="U162" s="20">
        <v>0.294764319590568</v>
      </c>
      <c r="V162" s="20">
        <v>0</v>
      </c>
      <c r="W162" s="25">
        <f>IF(V162&gt;U162,1,V162)</f>
        <v>0</v>
      </c>
      <c r="X162" s="20">
        <v>1</v>
      </c>
      <c r="Y162" s="66">
        <v>0</v>
      </c>
      <c r="Z162" s="72" t="str">
        <f>IF(OR(W162=1,W162=0),"0",(Q162-N162))</f>
        <v>0</v>
      </c>
      <c r="AA162" s="67" t="s">
        <v>447</v>
      </c>
      <c r="AB162" s="18" t="s">
        <v>448</v>
      </c>
      <c r="AC162" s="18">
        <v>237.06</v>
      </c>
      <c r="AD162" s="18">
        <v>1005.43</v>
      </c>
      <c r="AE162" s="18">
        <f>ROUND(AC162*100,0)</f>
        <v>23706</v>
      </c>
      <c r="AF162" s="18">
        <f>ROUND(AD162*100,0)</f>
        <v>100543</v>
      </c>
      <c r="AG162" s="26" t="str">
        <f>IF(AC162=AD162,"TAM",(CONCATENATE(AE162,"/",AF162)))</f>
        <v>23706/100543</v>
      </c>
      <c r="AH162" s="27" t="s">
        <v>50</v>
      </c>
      <c r="AI162" s="27" t="s">
        <v>50</v>
      </c>
      <c r="AJ162" s="76"/>
      <c r="AK162" s="55" t="s">
        <v>50</v>
      </c>
      <c r="AL162" s="2" t="s">
        <v>50</v>
      </c>
    </row>
    <row r="163" spans="1:37" ht="12.75" customHeight="1">
      <c r="A163" s="56"/>
      <c r="B163" s="28"/>
      <c r="C163" s="28"/>
      <c r="D163" s="29"/>
      <c r="E163" s="30" t="s">
        <v>50</v>
      </c>
      <c r="F163" s="30"/>
      <c r="G163" s="30"/>
      <c r="H163" s="30"/>
      <c r="I163" s="29"/>
      <c r="J163" s="29"/>
      <c r="K163" s="31"/>
      <c r="L163" s="31"/>
      <c r="M163" s="31"/>
      <c r="N163" s="31"/>
      <c r="O163" s="31"/>
      <c r="P163" s="30"/>
      <c r="Q163" s="30"/>
      <c r="R163" s="30"/>
      <c r="S163" s="30"/>
      <c r="T163" s="30"/>
      <c r="U163" s="30"/>
      <c r="V163" s="30"/>
      <c r="W163" s="30"/>
      <c r="X163" s="30"/>
      <c r="Y163" s="57"/>
      <c r="Z163" s="73"/>
      <c r="AA163" s="12"/>
      <c r="AB163" s="28"/>
      <c r="AC163" s="28"/>
      <c r="AD163" s="28"/>
      <c r="AE163" s="28"/>
      <c r="AF163" s="28"/>
      <c r="AG163" s="28"/>
      <c r="AH163" s="28"/>
      <c r="AI163" s="28"/>
      <c r="AJ163" s="76"/>
      <c r="AK163" s="57"/>
    </row>
    <row r="164" spans="1:38" ht="12.75" customHeight="1">
      <c r="A164" s="54">
        <v>150</v>
      </c>
      <c r="B164" s="17">
        <v>1410</v>
      </c>
      <c r="C164" s="17" t="s">
        <v>449</v>
      </c>
      <c r="D164" s="18">
        <v>336.58</v>
      </c>
      <c r="E164" s="19" t="s">
        <v>450</v>
      </c>
      <c r="F164" s="19" t="s">
        <v>451</v>
      </c>
      <c r="G164" s="20">
        <v>3</v>
      </c>
      <c r="H164" s="20">
        <v>16</v>
      </c>
      <c r="I164" s="18">
        <f>ROUND(G164,0)</f>
        <v>3</v>
      </c>
      <c r="J164" s="18">
        <f>ROUND(H164,0)</f>
        <v>16</v>
      </c>
      <c r="K164" s="21" t="str">
        <f>IF(I164=J164,"TAM",(CONCATENATE(G164,"/",H164)))</f>
        <v>3/16</v>
      </c>
      <c r="L164" s="22">
        <f>336.58*3/16</f>
        <v>63.10875</v>
      </c>
      <c r="M164" s="23">
        <v>0</v>
      </c>
      <c r="N164" s="18" t="str">
        <f>IF(M164=0,"0",(O164*M164))</f>
        <v>0</v>
      </c>
      <c r="O164" s="18">
        <f>IF(W164=1,L164,((D164*G164/H164)-P164)/(1-V164)-S164-T164)</f>
        <v>63.10875</v>
      </c>
      <c r="P164" s="18">
        <v>0</v>
      </c>
      <c r="Q164" s="18">
        <f>IF(U164=0,"0",O164*U164)</f>
        <v>18.602207753961256</v>
      </c>
      <c r="R164" s="24">
        <f>IF(U164=0,(((D164*G164/H164)-P164-S164-T164)/(1-V164)),(((D164*G164/H164)-P164-S164-T164)/(1-V164))-((D164*G164/H164)-P164-S164-T164)*U164/(1-V164))</f>
        <v>44.50654224603875</v>
      </c>
      <c r="S164" s="20">
        <v>0</v>
      </c>
      <c r="T164" s="20">
        <v>0</v>
      </c>
      <c r="U164" s="20">
        <v>0.294764319590568</v>
      </c>
      <c r="V164" s="20">
        <v>0</v>
      </c>
      <c r="W164" s="25">
        <f>IF(V164&gt;U164,1,V164)</f>
        <v>0</v>
      </c>
      <c r="X164" s="20">
        <v>1</v>
      </c>
      <c r="Y164" s="66">
        <v>0</v>
      </c>
      <c r="Z164" s="72" t="str">
        <f>IF(OR(W164=1,W164=0),"0",(Q164-N164))</f>
        <v>0</v>
      </c>
      <c r="AA164" s="67" t="s">
        <v>452</v>
      </c>
      <c r="AB164" s="18" t="s">
        <v>453</v>
      </c>
      <c r="AC164" s="18">
        <v>44.5</v>
      </c>
      <c r="AD164" s="18">
        <v>1005.43</v>
      </c>
      <c r="AE164" s="18">
        <f>ROUND(AC164*100,0)</f>
        <v>4450</v>
      </c>
      <c r="AF164" s="18">
        <f>ROUND(AD164*100,0)</f>
        <v>100543</v>
      </c>
      <c r="AG164" s="26" t="str">
        <f>IF(AC164=AD164,"TAM",(CONCATENATE(AE164,"/",AF164)))</f>
        <v>4450/100543</v>
      </c>
      <c r="AH164" s="27" t="s">
        <v>50</v>
      </c>
      <c r="AI164" s="27" t="s">
        <v>50</v>
      </c>
      <c r="AJ164" s="76"/>
      <c r="AK164" s="55" t="s">
        <v>50</v>
      </c>
      <c r="AL164" s="2" t="s">
        <v>50</v>
      </c>
    </row>
    <row r="165" spans="1:37" ht="12.75" customHeight="1">
      <c r="A165" s="56"/>
      <c r="B165" s="28"/>
      <c r="C165" s="28"/>
      <c r="D165" s="29"/>
      <c r="E165" s="30" t="s">
        <v>50</v>
      </c>
      <c r="F165" s="30"/>
      <c r="G165" s="30"/>
      <c r="H165" s="30"/>
      <c r="I165" s="29"/>
      <c r="J165" s="29"/>
      <c r="K165" s="31"/>
      <c r="L165" s="31"/>
      <c r="M165" s="31"/>
      <c r="N165" s="31"/>
      <c r="O165" s="31"/>
      <c r="P165" s="30"/>
      <c r="Q165" s="30"/>
      <c r="R165" s="30"/>
      <c r="S165" s="30"/>
      <c r="T165" s="30"/>
      <c r="U165" s="30"/>
      <c r="V165" s="30"/>
      <c r="W165" s="30"/>
      <c r="X165" s="30"/>
      <c r="Y165" s="57"/>
      <c r="Z165" s="73"/>
      <c r="AA165" s="12"/>
      <c r="AB165" s="28"/>
      <c r="AC165" s="28"/>
      <c r="AD165" s="28"/>
      <c r="AE165" s="28"/>
      <c r="AF165" s="28"/>
      <c r="AG165" s="28"/>
      <c r="AH165" s="28"/>
      <c r="AI165" s="28"/>
      <c r="AJ165" s="76"/>
      <c r="AK165" s="57"/>
    </row>
    <row r="166" spans="1:38" ht="12.75" customHeight="1">
      <c r="A166" s="54">
        <v>149</v>
      </c>
      <c r="B166" s="17">
        <v>1410</v>
      </c>
      <c r="C166" s="17" t="s">
        <v>454</v>
      </c>
      <c r="D166" s="18">
        <v>336.58</v>
      </c>
      <c r="E166" s="19" t="s">
        <v>455</v>
      </c>
      <c r="F166" s="19" t="s">
        <v>456</v>
      </c>
      <c r="G166" s="20">
        <v>9</v>
      </c>
      <c r="H166" s="20">
        <v>16</v>
      </c>
      <c r="I166" s="18">
        <f>ROUND(G166,0)</f>
        <v>9</v>
      </c>
      <c r="J166" s="18">
        <f>ROUND(H166,0)</f>
        <v>16</v>
      </c>
      <c r="K166" s="21" t="str">
        <f>IF(I166=J166,"TAM",(CONCATENATE(G166,"/",H166)))</f>
        <v>9/16</v>
      </c>
      <c r="L166" s="22">
        <f>336.58*9/16</f>
        <v>189.32625</v>
      </c>
      <c r="M166" s="23">
        <v>0</v>
      </c>
      <c r="N166" s="18" t="str">
        <f>IF(M166=0,"0",(O166*M166))</f>
        <v>0</v>
      </c>
      <c r="O166" s="18">
        <f>IF(W166=1,L166,((D166*G166/H166)-P166)/(1-V166)-S166-T166)</f>
        <v>189.32625</v>
      </c>
      <c r="P166" s="18">
        <v>0</v>
      </c>
      <c r="Q166" s="18">
        <f>IF(U166=0,"0",O166*U166)</f>
        <v>55.806623261883765</v>
      </c>
      <c r="R166" s="24">
        <f>IF(U166=0,(((D166*G166/H166)-P166-S166-T166)/(1-V166)),(((D166*G166/H166)-P166-S166-T166)/(1-V166))-((D166*G166/H166)-P166-S166-T166)*U166/(1-V166))</f>
        <v>133.51962673811622</v>
      </c>
      <c r="S166" s="20">
        <v>0</v>
      </c>
      <c r="T166" s="20">
        <v>0</v>
      </c>
      <c r="U166" s="20">
        <v>0.294764319590568</v>
      </c>
      <c r="V166" s="20">
        <v>0</v>
      </c>
      <c r="W166" s="25">
        <f>IF(V166&gt;U166,1,V166)</f>
        <v>0</v>
      </c>
      <c r="X166" s="20">
        <v>1</v>
      </c>
      <c r="Y166" s="66">
        <v>0</v>
      </c>
      <c r="Z166" s="72" t="str">
        <f>IF(OR(W166=1,W166=0),"0",(Q166-N166))</f>
        <v>0</v>
      </c>
      <c r="AA166" s="67" t="s">
        <v>457</v>
      </c>
      <c r="AB166" s="18" t="s">
        <v>458</v>
      </c>
      <c r="AC166" s="18">
        <v>133.53</v>
      </c>
      <c r="AD166" s="18">
        <v>1005.43</v>
      </c>
      <c r="AE166" s="18">
        <f>ROUND(AC166*100,0)</f>
        <v>13353</v>
      </c>
      <c r="AF166" s="18">
        <f>ROUND(AD166*100,0)</f>
        <v>100543</v>
      </c>
      <c r="AG166" s="26" t="str">
        <f>IF(AC166=AD166,"TAM",(CONCATENATE(AE166,"/",AF166)))</f>
        <v>13353/100543</v>
      </c>
      <c r="AH166" s="27" t="s">
        <v>50</v>
      </c>
      <c r="AI166" s="27" t="s">
        <v>50</v>
      </c>
      <c r="AJ166" s="76"/>
      <c r="AK166" s="55" t="s">
        <v>50</v>
      </c>
      <c r="AL166" s="2" t="s">
        <v>50</v>
      </c>
    </row>
    <row r="167" spans="1:37" ht="12.75" customHeight="1">
      <c r="A167" s="56"/>
      <c r="B167" s="28"/>
      <c r="C167" s="28"/>
      <c r="D167" s="29"/>
      <c r="E167" s="30" t="s">
        <v>50</v>
      </c>
      <c r="F167" s="30"/>
      <c r="G167" s="30"/>
      <c r="H167" s="30"/>
      <c r="I167" s="29"/>
      <c r="J167" s="29"/>
      <c r="K167" s="31"/>
      <c r="L167" s="31"/>
      <c r="M167" s="31"/>
      <c r="N167" s="31"/>
      <c r="O167" s="31"/>
      <c r="P167" s="30"/>
      <c r="Q167" s="30"/>
      <c r="R167" s="30"/>
      <c r="S167" s="30"/>
      <c r="T167" s="30"/>
      <c r="U167" s="30"/>
      <c r="V167" s="30"/>
      <c r="W167" s="30"/>
      <c r="X167" s="30"/>
      <c r="Y167" s="57"/>
      <c r="Z167" s="73"/>
      <c r="AA167" s="12"/>
      <c r="AB167" s="28"/>
      <c r="AC167" s="28"/>
      <c r="AD167" s="28"/>
      <c r="AE167" s="28"/>
      <c r="AF167" s="28"/>
      <c r="AG167" s="28"/>
      <c r="AH167" s="28"/>
      <c r="AI167" s="28"/>
      <c r="AJ167" s="76"/>
      <c r="AK167" s="57"/>
    </row>
    <row r="168" spans="1:38" ht="12.75" customHeight="1">
      <c r="A168" s="54">
        <v>148</v>
      </c>
      <c r="B168" s="17">
        <v>1410</v>
      </c>
      <c r="C168" s="17" t="s">
        <v>459</v>
      </c>
      <c r="D168" s="18">
        <v>336.58</v>
      </c>
      <c r="E168" s="19" t="s">
        <v>460</v>
      </c>
      <c r="F168" s="19" t="s">
        <v>461</v>
      </c>
      <c r="G168" s="20">
        <v>1</v>
      </c>
      <c r="H168" s="20">
        <v>4</v>
      </c>
      <c r="I168" s="18">
        <f>ROUND(G168,0)</f>
        <v>1</v>
      </c>
      <c r="J168" s="18">
        <f>ROUND(H168,0)</f>
        <v>4</v>
      </c>
      <c r="K168" s="21" t="str">
        <f>IF(I168=J168,"TAM",(CONCATENATE(G168,"/",H168)))</f>
        <v>1/4</v>
      </c>
      <c r="L168" s="22">
        <f>336.58*1/4</f>
        <v>84.145</v>
      </c>
      <c r="M168" s="23">
        <v>0</v>
      </c>
      <c r="N168" s="18" t="str">
        <f>IF(M168=0,"0",(O168*M168))</f>
        <v>0</v>
      </c>
      <c r="O168" s="18">
        <f>IF(W168=1,L168,((D168*G168/H168)-P168)/(1-V168)-S168-T168)</f>
        <v>84.145</v>
      </c>
      <c r="P168" s="18">
        <v>0</v>
      </c>
      <c r="Q168" s="18">
        <f>IF(U168=0,"0",O168*U168)</f>
        <v>24.80294367194834</v>
      </c>
      <c r="R168" s="24">
        <f>IF(U168=0,(((D168*G168/H168)-P168-S168-T168)/(1-V168)),(((D168*G168/H168)-P168-S168-T168)/(1-V168))-((D168*G168/H168)-P168-S168-T168)*U168/(1-V168))</f>
        <v>59.342056328051655</v>
      </c>
      <c r="S168" s="20">
        <v>0</v>
      </c>
      <c r="T168" s="20">
        <v>0</v>
      </c>
      <c r="U168" s="20">
        <v>0.294764319590568</v>
      </c>
      <c r="V168" s="20">
        <v>0</v>
      </c>
      <c r="W168" s="25">
        <f>IF(V168&gt;U168,1,V168)</f>
        <v>0</v>
      </c>
      <c r="X168" s="20">
        <v>1</v>
      </c>
      <c r="Y168" s="66">
        <v>0</v>
      </c>
      <c r="Z168" s="72" t="str">
        <f>IF(OR(W168=1,W168=0),"0",(Q168-N168))</f>
        <v>0</v>
      </c>
      <c r="AA168" s="67" t="s">
        <v>462</v>
      </c>
      <c r="AB168" s="18" t="s">
        <v>463</v>
      </c>
      <c r="AC168" s="18">
        <v>59.34</v>
      </c>
      <c r="AD168" s="18">
        <v>1005.43</v>
      </c>
      <c r="AE168" s="18">
        <f>ROUND(AC168*100,0)</f>
        <v>5934</v>
      </c>
      <c r="AF168" s="18">
        <f>ROUND(AD168*100,0)</f>
        <v>100543</v>
      </c>
      <c r="AG168" s="26" t="str">
        <f>IF(AC168=AD168,"TAM",(CONCATENATE(AE168,"/",AF168)))</f>
        <v>5934/100543</v>
      </c>
      <c r="AH168" s="27" t="s">
        <v>50</v>
      </c>
      <c r="AI168" s="27" t="s">
        <v>50</v>
      </c>
      <c r="AJ168" s="76"/>
      <c r="AK168" s="55" t="s">
        <v>50</v>
      </c>
      <c r="AL168" s="2" t="s">
        <v>50</v>
      </c>
    </row>
    <row r="169" spans="1:37" ht="12.75" customHeight="1">
      <c r="A169" s="56"/>
      <c r="B169" s="28"/>
      <c r="C169" s="28"/>
      <c r="D169" s="29"/>
      <c r="E169" s="30" t="s">
        <v>50</v>
      </c>
      <c r="F169" s="30"/>
      <c r="G169" s="30"/>
      <c r="H169" s="30"/>
      <c r="I169" s="29"/>
      <c r="J169" s="29"/>
      <c r="K169" s="31"/>
      <c r="L169" s="31"/>
      <c r="M169" s="31"/>
      <c r="N169" s="31"/>
      <c r="O169" s="31"/>
      <c r="P169" s="30"/>
      <c r="Q169" s="30"/>
      <c r="R169" s="30"/>
      <c r="S169" s="30"/>
      <c r="T169" s="30"/>
      <c r="U169" s="30"/>
      <c r="V169" s="30"/>
      <c r="W169" s="30"/>
      <c r="X169" s="30"/>
      <c r="Y169" s="57"/>
      <c r="Z169" s="73"/>
      <c r="AA169" s="12"/>
      <c r="AB169" s="28"/>
      <c r="AC169" s="28"/>
      <c r="AD169" s="28"/>
      <c r="AE169" s="28"/>
      <c r="AF169" s="28"/>
      <c r="AG169" s="28"/>
      <c r="AH169" s="28"/>
      <c r="AI169" s="28"/>
      <c r="AJ169" s="76"/>
      <c r="AK169" s="57"/>
    </row>
    <row r="170" spans="1:38" ht="12.75" customHeight="1">
      <c r="A170" s="54">
        <v>151</v>
      </c>
      <c r="B170" s="17">
        <v>1411</v>
      </c>
      <c r="C170" s="17" t="s">
        <v>464</v>
      </c>
      <c r="D170" s="18">
        <v>168.55</v>
      </c>
      <c r="E170" s="19" t="s">
        <v>465</v>
      </c>
      <c r="F170" s="19" t="s">
        <v>466</v>
      </c>
      <c r="G170" s="20">
        <v>1</v>
      </c>
      <c r="H170" s="20">
        <v>1</v>
      </c>
      <c r="I170" s="18">
        <f>ROUND(G170,0)</f>
        <v>1</v>
      </c>
      <c r="J170" s="18">
        <f>ROUND(H170,0)</f>
        <v>1</v>
      </c>
      <c r="K170" s="21" t="str">
        <f>IF(I170=J170,"TAM",(CONCATENATE(G170,"/",H170)))</f>
        <v>TAM</v>
      </c>
      <c r="L170" s="22">
        <f>168.55*1/1</f>
        <v>168.55</v>
      </c>
      <c r="M170" s="23">
        <v>0</v>
      </c>
      <c r="N170" s="18" t="str">
        <f>IF(M170=0,"0",(O170*M170))</f>
        <v>0</v>
      </c>
      <c r="O170" s="18">
        <f>IF(W170=1,L170,((D170*G170/H170)-P170)/(1-V170)-S170-T170)</f>
        <v>168.55</v>
      </c>
      <c r="P170" s="18">
        <v>0</v>
      </c>
      <c r="Q170" s="18">
        <f>IF(U170=0,"0",O170*U170)</f>
        <v>49.682526066990235</v>
      </c>
      <c r="R170" s="24">
        <f>IF(U170=0,(((D170*G170/H170)-P170-S170-T170)/(1-V170)),(((D170*G170/H170)-P170-S170-T170)/(1-V170))-((D170*G170/H170)-P170-S170-T170)*U170/(1-V170))</f>
        <v>118.86747393300978</v>
      </c>
      <c r="S170" s="20">
        <v>0</v>
      </c>
      <c r="T170" s="20">
        <v>0</v>
      </c>
      <c r="U170" s="20">
        <v>0.294764319590568</v>
      </c>
      <c r="V170" s="20">
        <v>0</v>
      </c>
      <c r="W170" s="25">
        <f>IF(V170&gt;U170,1,V170)</f>
        <v>0</v>
      </c>
      <c r="X170" s="20">
        <v>1</v>
      </c>
      <c r="Y170" s="66">
        <v>0</v>
      </c>
      <c r="Z170" s="72" t="str">
        <f>IF(OR(W170=1,W170=0),"0",(Q170-N170))</f>
        <v>0</v>
      </c>
      <c r="AA170" s="67" t="s">
        <v>468</v>
      </c>
      <c r="AB170" s="18" t="s">
        <v>469</v>
      </c>
      <c r="AC170" s="18">
        <v>118.87</v>
      </c>
      <c r="AD170" s="18">
        <v>1005.43</v>
      </c>
      <c r="AE170" s="18">
        <f>ROUND(AC170*100,0)</f>
        <v>11887</v>
      </c>
      <c r="AF170" s="18">
        <f>ROUND(AD170*100,0)</f>
        <v>100543</v>
      </c>
      <c r="AG170" s="26" t="str">
        <f>IF(AC170=AD170,"TAM",(CONCATENATE(AE170,"/",AF170)))</f>
        <v>11887/100543</v>
      </c>
      <c r="AH170" s="27" t="s">
        <v>50</v>
      </c>
      <c r="AI170" s="27" t="s">
        <v>50</v>
      </c>
      <c r="AJ170" s="76"/>
      <c r="AK170" s="55" t="s">
        <v>50</v>
      </c>
      <c r="AL170" s="2" t="s">
        <v>50</v>
      </c>
    </row>
    <row r="171" spans="1:37" ht="31.5" customHeight="1">
      <c r="A171" s="56"/>
      <c r="B171" s="28"/>
      <c r="C171" s="28"/>
      <c r="D171" s="29"/>
      <c r="E171" s="1" t="s">
        <v>467</v>
      </c>
      <c r="F171" s="30"/>
      <c r="G171" s="30"/>
      <c r="H171" s="30"/>
      <c r="I171" s="29"/>
      <c r="J171" s="29"/>
      <c r="K171" s="31"/>
      <c r="L171" s="31"/>
      <c r="M171" s="31"/>
      <c r="N171" s="31"/>
      <c r="O171" s="31"/>
      <c r="P171" s="30"/>
      <c r="Q171" s="30"/>
      <c r="R171" s="30"/>
      <c r="S171" s="30"/>
      <c r="T171" s="30"/>
      <c r="U171" s="30"/>
      <c r="V171" s="30"/>
      <c r="W171" s="30"/>
      <c r="X171" s="30"/>
      <c r="Y171" s="57"/>
      <c r="Z171" s="73"/>
      <c r="AA171" s="12"/>
      <c r="AB171" s="28"/>
      <c r="AC171" s="28"/>
      <c r="AD171" s="28"/>
      <c r="AE171" s="28"/>
      <c r="AF171" s="28"/>
      <c r="AG171" s="28"/>
      <c r="AH171" s="28"/>
      <c r="AI171" s="28"/>
      <c r="AJ171" s="76"/>
      <c r="AK171" s="57"/>
    </row>
    <row r="172" spans="1:38" ht="12.75" customHeight="1">
      <c r="A172" s="54">
        <v>155</v>
      </c>
      <c r="B172" s="17">
        <v>1412</v>
      </c>
      <c r="C172" s="17" t="s">
        <v>470</v>
      </c>
      <c r="D172" s="18">
        <v>135.18</v>
      </c>
      <c r="E172" s="19" t="s">
        <v>471</v>
      </c>
      <c r="F172" s="19" t="s">
        <v>472</v>
      </c>
      <c r="G172" s="20">
        <v>1</v>
      </c>
      <c r="H172" s="20">
        <v>1</v>
      </c>
      <c r="I172" s="18">
        <f>ROUND(G172,0)</f>
        <v>1</v>
      </c>
      <c r="J172" s="18">
        <f>ROUND(H172,0)</f>
        <v>1</v>
      </c>
      <c r="K172" s="21" t="str">
        <f>IF(I172=J172,"TAM",(CONCATENATE(G172,"/",H172)))</f>
        <v>TAM</v>
      </c>
      <c r="L172" s="22">
        <f>135.18*1/1</f>
        <v>135.18</v>
      </c>
      <c r="M172" s="23">
        <v>0</v>
      </c>
      <c r="N172" s="18" t="str">
        <f>IF(M172=0,"0",(O172*M172))</f>
        <v>0</v>
      </c>
      <c r="O172" s="18">
        <f>IF(W172=1,L172,((D172*G172/H172)-P172)/(1-V172)-S172-T172)</f>
        <v>135.18</v>
      </c>
      <c r="P172" s="18">
        <v>0</v>
      </c>
      <c r="Q172" s="18">
        <f>IF(U172=0,"0",O172*U172)</f>
        <v>39.84624072225298</v>
      </c>
      <c r="R172" s="24">
        <f>IF(U172=0,(((D172*G172/H172)-P172-S172-T172)/(1-V172)),(((D172*G172/H172)-P172-S172-T172)/(1-V172))-((D172*G172/H172)-P172-S172-T172)*U172/(1-V172))</f>
        <v>95.33375927774702</v>
      </c>
      <c r="S172" s="20">
        <v>0</v>
      </c>
      <c r="T172" s="20">
        <v>0</v>
      </c>
      <c r="U172" s="20">
        <v>0.294764319590568</v>
      </c>
      <c r="V172" s="20">
        <v>0</v>
      </c>
      <c r="W172" s="25">
        <f>IF(V172&gt;U172,1,V172)</f>
        <v>0</v>
      </c>
      <c r="X172" s="20">
        <v>1</v>
      </c>
      <c r="Y172" s="66">
        <v>0</v>
      </c>
      <c r="Z172" s="72" t="str">
        <f>IF(OR(W172=1,W172=0),"0",(Q172-N172))</f>
        <v>0</v>
      </c>
      <c r="AA172" s="67" t="s">
        <v>474</v>
      </c>
      <c r="AB172" s="18" t="s">
        <v>475</v>
      </c>
      <c r="AC172" s="18">
        <v>95.33</v>
      </c>
      <c r="AD172" s="18">
        <v>1005.43</v>
      </c>
      <c r="AE172" s="18">
        <f>ROUND(AC172*100,0)</f>
        <v>9533</v>
      </c>
      <c r="AF172" s="18">
        <f>ROUND(AD172*100,0)</f>
        <v>100543</v>
      </c>
      <c r="AG172" s="26" t="str">
        <f>IF(AC172=AD172,"TAM",(CONCATENATE(AE172,"/",AF172)))</f>
        <v>9533/100543</v>
      </c>
      <c r="AH172" s="27" t="s">
        <v>50</v>
      </c>
      <c r="AI172" s="27" t="s">
        <v>50</v>
      </c>
      <c r="AJ172" s="76"/>
      <c r="AK172" s="55" t="s">
        <v>50</v>
      </c>
      <c r="AL172" s="2" t="s">
        <v>50</v>
      </c>
    </row>
    <row r="173" spans="1:37" ht="49.5" customHeight="1">
      <c r="A173" s="56"/>
      <c r="B173" s="28"/>
      <c r="C173" s="28"/>
      <c r="D173" s="29"/>
      <c r="E173" s="1" t="s">
        <v>473</v>
      </c>
      <c r="F173" s="30"/>
      <c r="G173" s="30"/>
      <c r="H173" s="30"/>
      <c r="I173" s="29"/>
      <c r="J173" s="29"/>
      <c r="K173" s="31"/>
      <c r="L173" s="31"/>
      <c r="M173" s="31"/>
      <c r="N173" s="31"/>
      <c r="O173" s="31"/>
      <c r="P173" s="30"/>
      <c r="Q173" s="30"/>
      <c r="R173" s="30"/>
      <c r="S173" s="30"/>
      <c r="T173" s="30"/>
      <c r="U173" s="30"/>
      <c r="V173" s="30"/>
      <c r="W173" s="30"/>
      <c r="X173" s="30"/>
      <c r="Y173" s="57"/>
      <c r="Z173" s="73"/>
      <c r="AA173" s="12"/>
      <c r="AB173" s="28"/>
      <c r="AC173" s="28"/>
      <c r="AD173" s="28"/>
      <c r="AE173" s="28"/>
      <c r="AF173" s="28"/>
      <c r="AG173" s="28"/>
      <c r="AH173" s="28"/>
      <c r="AI173" s="28"/>
      <c r="AJ173" s="76"/>
      <c r="AK173" s="57"/>
    </row>
    <row r="174" spans="1:38" ht="12.75" customHeight="1">
      <c r="A174" s="54">
        <v>159</v>
      </c>
      <c r="B174" s="17">
        <v>1413</v>
      </c>
      <c r="C174" s="17" t="s">
        <v>476</v>
      </c>
      <c r="D174" s="18">
        <v>139.09</v>
      </c>
      <c r="E174" s="19" t="s">
        <v>477</v>
      </c>
      <c r="F174" s="19" t="s">
        <v>478</v>
      </c>
      <c r="G174" s="20">
        <v>1</v>
      </c>
      <c r="H174" s="20">
        <v>1</v>
      </c>
      <c r="I174" s="18">
        <f>ROUND(G174,0)</f>
        <v>1</v>
      </c>
      <c r="J174" s="18">
        <f>ROUND(H174,0)</f>
        <v>1</v>
      </c>
      <c r="K174" s="21" t="str">
        <f>IF(I174=J174,"TAM",(CONCATENATE(G174,"/",H174)))</f>
        <v>TAM</v>
      </c>
      <c r="L174" s="22">
        <f>139.09*1/1</f>
        <v>139.09</v>
      </c>
      <c r="M174" s="23">
        <v>0</v>
      </c>
      <c r="N174" s="18" t="str">
        <f>IF(M174=0,"0",(O174*M174))</f>
        <v>0</v>
      </c>
      <c r="O174" s="18">
        <f>IF(W174=1,L174,((D174*G174/H174)-P174)/(1-V174)-S174-T174)</f>
        <v>139.09</v>
      </c>
      <c r="P174" s="18">
        <v>0</v>
      </c>
      <c r="Q174" s="18">
        <f>IF(U174=0,"0",O174*U174)</f>
        <v>40.9987692118521</v>
      </c>
      <c r="R174" s="24">
        <f>IF(U174=0,(((D174*G174/H174)-P174-S174-T174)/(1-V174)),(((D174*G174/H174)-P174-S174-T174)/(1-V174))-((D174*G174/H174)-P174-S174-T174)*U174/(1-V174))</f>
        <v>98.0912307881479</v>
      </c>
      <c r="S174" s="20">
        <v>0</v>
      </c>
      <c r="T174" s="20">
        <v>0</v>
      </c>
      <c r="U174" s="20">
        <v>0.294764319590568</v>
      </c>
      <c r="V174" s="20">
        <v>0</v>
      </c>
      <c r="W174" s="25">
        <f>IF(V174&gt;U174,1,V174)</f>
        <v>0</v>
      </c>
      <c r="X174" s="20">
        <v>1</v>
      </c>
      <c r="Y174" s="66">
        <v>0</v>
      </c>
      <c r="Z174" s="72" t="str">
        <f>IF(OR(W174=1,W174=0),"0",(Q174-N174))</f>
        <v>0</v>
      </c>
      <c r="AA174" s="67" t="s">
        <v>479</v>
      </c>
      <c r="AB174" s="18" t="s">
        <v>480</v>
      </c>
      <c r="AC174" s="18">
        <v>98.09</v>
      </c>
      <c r="AD174" s="18">
        <v>1005.43</v>
      </c>
      <c r="AE174" s="18">
        <f>ROUND(AC174*100,0)</f>
        <v>9809</v>
      </c>
      <c r="AF174" s="18">
        <f>ROUND(AD174*100,0)</f>
        <v>100543</v>
      </c>
      <c r="AG174" s="26" t="str">
        <f>IF(AC174=AD174,"TAM",(CONCATENATE(AE174,"/",AF174)))</f>
        <v>9809/100543</v>
      </c>
      <c r="AH174" s="27" t="s">
        <v>50</v>
      </c>
      <c r="AI174" s="27" t="s">
        <v>50</v>
      </c>
      <c r="AJ174" s="76"/>
      <c r="AK174" s="55" t="s">
        <v>50</v>
      </c>
      <c r="AL174" s="2" t="s">
        <v>50</v>
      </c>
    </row>
    <row r="175" spans="1:37" ht="12.75" customHeight="1">
      <c r="A175" s="56"/>
      <c r="B175" s="28"/>
      <c r="C175" s="28"/>
      <c r="D175" s="29"/>
      <c r="E175" s="30" t="s">
        <v>50</v>
      </c>
      <c r="F175" s="30"/>
      <c r="G175" s="30"/>
      <c r="H175" s="30"/>
      <c r="I175" s="29"/>
      <c r="J175" s="29"/>
      <c r="K175" s="31"/>
      <c r="L175" s="31"/>
      <c r="M175" s="31"/>
      <c r="N175" s="31"/>
      <c r="O175" s="31"/>
      <c r="P175" s="30"/>
      <c r="Q175" s="30"/>
      <c r="R175" s="30"/>
      <c r="S175" s="30"/>
      <c r="T175" s="30"/>
      <c r="U175" s="30"/>
      <c r="V175" s="30"/>
      <c r="W175" s="30"/>
      <c r="X175" s="30"/>
      <c r="Y175" s="57"/>
      <c r="Z175" s="73"/>
      <c r="AA175" s="12"/>
      <c r="AB175" s="28"/>
      <c r="AC175" s="28"/>
      <c r="AD175" s="28"/>
      <c r="AE175" s="28"/>
      <c r="AF175" s="28"/>
      <c r="AG175" s="28"/>
      <c r="AH175" s="28"/>
      <c r="AI175" s="28"/>
      <c r="AJ175" s="82"/>
      <c r="AK175" s="57"/>
    </row>
    <row r="176" spans="1:38" ht="12.75" customHeight="1">
      <c r="A176" s="54">
        <v>160</v>
      </c>
      <c r="B176" s="17">
        <v>1414</v>
      </c>
      <c r="C176" s="17" t="s">
        <v>481</v>
      </c>
      <c r="D176" s="18">
        <v>3724.9</v>
      </c>
      <c r="E176" s="19" t="s">
        <v>482</v>
      </c>
      <c r="F176" s="19" t="s">
        <v>483</v>
      </c>
      <c r="G176" s="20">
        <v>1</v>
      </c>
      <c r="H176" s="20">
        <v>1</v>
      </c>
      <c r="I176" s="18">
        <f>ROUND(G176,0)</f>
        <v>1</v>
      </c>
      <c r="J176" s="18">
        <f>ROUND(H176,0)</f>
        <v>1</v>
      </c>
      <c r="K176" s="21" t="str">
        <f>IF(I176=J176,"TAM",(CONCATENATE(G176,"/",H176)))</f>
        <v>TAM</v>
      </c>
      <c r="L176" s="22">
        <f>3724.9*1/1</f>
        <v>3724.9</v>
      </c>
      <c r="M176" s="23">
        <v>0</v>
      </c>
      <c r="N176" s="18" t="str">
        <f>IF(M176=0,"0",(O176*M176))</f>
        <v>0</v>
      </c>
      <c r="O176" s="18">
        <f>IF(W176=1,L176,((D176*G176/H176)-P176)/(1-V176)-S176-T176)</f>
        <v>3724.9</v>
      </c>
      <c r="P176" s="18">
        <v>0</v>
      </c>
      <c r="Q176" s="18">
        <f>IF(U176=0,"0",O176*U176)</f>
        <v>1097.9676140429067</v>
      </c>
      <c r="R176" s="24">
        <f>IF(U176=0,(((D176*G176/H176)-P176-S176-T176)/(1-V176)),(((D176*G176/H176)-P176-S176-T176)/(1-V176))-((D176*G176/H176)-P176-S176-T176)*U176/(1-V176))</f>
        <v>2626.932385957093</v>
      </c>
      <c r="S176" s="20">
        <v>0</v>
      </c>
      <c r="T176" s="20">
        <v>0</v>
      </c>
      <c r="U176" s="20">
        <v>0.294764319590568</v>
      </c>
      <c r="V176" s="20">
        <v>0</v>
      </c>
      <c r="W176" s="25">
        <f>IF(V176&gt;U176,1,V176)</f>
        <v>0</v>
      </c>
      <c r="X176" s="20">
        <v>1</v>
      </c>
      <c r="Y176" s="66">
        <v>0</v>
      </c>
      <c r="Z176" s="72" t="str">
        <f>IF(OR(W176=1,W176=0),"0",(Q176-N176))</f>
        <v>0</v>
      </c>
      <c r="AA176" s="67" t="s">
        <v>484</v>
      </c>
      <c r="AB176" s="18" t="s">
        <v>486</v>
      </c>
      <c r="AC176" s="18">
        <v>1427.42</v>
      </c>
      <c r="AD176" s="18">
        <v>1427.42</v>
      </c>
      <c r="AE176" s="18">
        <f>ROUND(AC176*100,0)</f>
        <v>142742</v>
      </c>
      <c r="AF176" s="18">
        <f>ROUND(AD176*100,0)</f>
        <v>142742</v>
      </c>
      <c r="AG176" s="26" t="str">
        <f>IF(AC176=AD176,"TAM",(CONCATENATE(AE176,"/",AF176)))</f>
        <v>TAM</v>
      </c>
      <c r="AH176" s="27" t="s">
        <v>50</v>
      </c>
      <c r="AI176" s="27" t="s">
        <v>50</v>
      </c>
      <c r="AJ176" s="75" t="s">
        <v>485</v>
      </c>
      <c r="AK176" s="55" t="s">
        <v>50</v>
      </c>
      <c r="AL176" s="2" t="s">
        <v>50</v>
      </c>
    </row>
    <row r="177" spans="1:37" ht="12.75" customHeight="1">
      <c r="A177" s="56"/>
      <c r="B177" s="28"/>
      <c r="C177" s="28"/>
      <c r="D177" s="29"/>
      <c r="E177" s="30" t="s">
        <v>50</v>
      </c>
      <c r="F177" s="30"/>
      <c r="G177" s="30"/>
      <c r="H177" s="30"/>
      <c r="I177" s="29"/>
      <c r="J177" s="29"/>
      <c r="K177" s="31"/>
      <c r="L177" s="31"/>
      <c r="M177" s="31"/>
      <c r="N177" s="31"/>
      <c r="O177" s="31"/>
      <c r="P177" s="30"/>
      <c r="Q177" s="30"/>
      <c r="R177" s="30"/>
      <c r="S177" s="30"/>
      <c r="T177" s="30"/>
      <c r="U177" s="30"/>
      <c r="V177" s="30"/>
      <c r="W177" s="30"/>
      <c r="X177" s="30"/>
      <c r="Y177" s="57"/>
      <c r="Z177" s="73"/>
      <c r="AA177" s="12"/>
      <c r="AB177" s="28"/>
      <c r="AC177" s="28"/>
      <c r="AD177" s="28"/>
      <c r="AE177" s="28"/>
      <c r="AF177" s="28"/>
      <c r="AG177" s="28"/>
      <c r="AH177" s="28"/>
      <c r="AI177" s="28"/>
      <c r="AJ177" s="82"/>
      <c r="AK177" s="57"/>
    </row>
    <row r="178" spans="1:38" ht="12.75" customHeight="1">
      <c r="A178" s="54">
        <v>29</v>
      </c>
      <c r="B178" s="17">
        <v>1148</v>
      </c>
      <c r="C178" s="17" t="s">
        <v>487</v>
      </c>
      <c r="D178" s="18">
        <v>3384.38</v>
      </c>
      <c r="E178" s="19" t="s">
        <v>488</v>
      </c>
      <c r="F178" s="19" t="s">
        <v>489</v>
      </c>
      <c r="G178" s="20">
        <v>1</v>
      </c>
      <c r="H178" s="20">
        <v>1</v>
      </c>
      <c r="I178" s="18">
        <f>ROUND(G178,0)</f>
        <v>1</v>
      </c>
      <c r="J178" s="18">
        <f>ROUND(H178,0)</f>
        <v>1</v>
      </c>
      <c r="K178" s="21" t="str">
        <f>IF(I178=J178,"TAM",(CONCATENATE(G178,"/",H178)))</f>
        <v>TAM</v>
      </c>
      <c r="L178" s="22">
        <f>3384.38*1/1</f>
        <v>3384.38</v>
      </c>
      <c r="M178" s="23">
        <v>0</v>
      </c>
      <c r="N178" s="18" t="str">
        <f>IF(M178=0,"0",(O178*M178))</f>
        <v>0</v>
      </c>
      <c r="O178" s="18">
        <f>IF(W178=1,L178,((D178*G178/H178)-P178)/(1-V178)-S178-T178)</f>
        <v>3384.38</v>
      </c>
      <c r="P178" s="18">
        <v>0</v>
      </c>
      <c r="Q178" s="18">
        <f>IF(U178=0,"0",O178*U178)</f>
        <v>997.5944679359264</v>
      </c>
      <c r="R178" s="24">
        <f>IF(U178=0,(((D178*G178/H178)-P178-S178-T178)/(1-V178)),(((D178*G178/H178)-P178-S178-T178)/(1-V178))-((D178*G178/H178)-P178-S178-T178)*U178/(1-V178))</f>
        <v>2386.785532064074</v>
      </c>
      <c r="S178" s="20">
        <v>0</v>
      </c>
      <c r="T178" s="20">
        <v>0</v>
      </c>
      <c r="U178" s="20">
        <v>0.294764319590568</v>
      </c>
      <c r="V178" s="20">
        <v>0</v>
      </c>
      <c r="W178" s="25">
        <f>IF(V178&gt;U178,1,V178)</f>
        <v>0</v>
      </c>
      <c r="X178" s="20">
        <v>1</v>
      </c>
      <c r="Y178" s="66">
        <v>0</v>
      </c>
      <c r="Z178" s="72" t="str">
        <f>IF(OR(W178=1,W178=0),"0",(Q178-N178))</f>
        <v>0</v>
      </c>
      <c r="AA178" s="67" t="s">
        <v>490</v>
      </c>
      <c r="AB178" s="18" t="s">
        <v>492</v>
      </c>
      <c r="AC178" s="18">
        <v>904.78</v>
      </c>
      <c r="AD178" s="18">
        <v>904.78</v>
      </c>
      <c r="AE178" s="18">
        <f>ROUND(AC178*100,0)</f>
        <v>90478</v>
      </c>
      <c r="AF178" s="18">
        <f>ROUND(AD178*100,0)</f>
        <v>90478</v>
      </c>
      <c r="AG178" s="26" t="str">
        <f>IF(AC178=AD178,"TAM",(CONCATENATE(AE178,"/",AF178)))</f>
        <v>TAM</v>
      </c>
      <c r="AH178" s="27" t="s">
        <v>50</v>
      </c>
      <c r="AI178" s="27" t="s">
        <v>50</v>
      </c>
      <c r="AJ178" s="79" t="s">
        <v>491</v>
      </c>
      <c r="AK178" s="55" t="s">
        <v>50</v>
      </c>
      <c r="AL178" s="2" t="s">
        <v>50</v>
      </c>
    </row>
    <row r="179" spans="1:37" ht="12.75" customHeight="1">
      <c r="A179" s="56"/>
      <c r="B179" s="28"/>
      <c r="C179" s="28"/>
      <c r="D179" s="29"/>
      <c r="E179" s="30" t="s">
        <v>50</v>
      </c>
      <c r="F179" s="30"/>
      <c r="G179" s="30"/>
      <c r="H179" s="30"/>
      <c r="I179" s="29"/>
      <c r="J179" s="29"/>
      <c r="K179" s="31"/>
      <c r="L179" s="31"/>
      <c r="M179" s="31"/>
      <c r="N179" s="31"/>
      <c r="O179" s="31"/>
      <c r="P179" s="30"/>
      <c r="Q179" s="30"/>
      <c r="R179" s="30"/>
      <c r="S179" s="30"/>
      <c r="T179" s="30"/>
      <c r="U179" s="30"/>
      <c r="V179" s="30"/>
      <c r="W179" s="30"/>
      <c r="X179" s="30"/>
      <c r="Y179" s="57"/>
      <c r="Z179" s="73"/>
      <c r="AA179" s="12"/>
      <c r="AB179" s="28"/>
      <c r="AC179" s="28"/>
      <c r="AD179" s="28"/>
      <c r="AE179" s="28"/>
      <c r="AF179" s="28"/>
      <c r="AG179" s="28"/>
      <c r="AH179" s="28"/>
      <c r="AI179" s="28"/>
      <c r="AJ179" s="81"/>
      <c r="AK179" s="57"/>
    </row>
    <row r="180" spans="1:38" ht="20.25" customHeight="1">
      <c r="A180" s="54">
        <v>30</v>
      </c>
      <c r="B180" s="17">
        <v>1149</v>
      </c>
      <c r="C180" s="17" t="s">
        <v>493</v>
      </c>
      <c r="D180" s="18">
        <v>8845.1</v>
      </c>
      <c r="E180" s="19" t="s">
        <v>494</v>
      </c>
      <c r="F180" s="19" t="s">
        <v>495</v>
      </c>
      <c r="G180" s="20">
        <v>1</v>
      </c>
      <c r="H180" s="20">
        <v>1</v>
      </c>
      <c r="I180" s="18">
        <f>ROUND(G180,0)</f>
        <v>1</v>
      </c>
      <c r="J180" s="18">
        <f>ROUND(H180,0)</f>
        <v>1</v>
      </c>
      <c r="K180" s="21" t="str">
        <f>IF(I180=J180,"TAM",(CONCATENATE(G180,"/",H180)))</f>
        <v>TAM</v>
      </c>
      <c r="L180" s="22">
        <f>8845.1*1/1</f>
        <v>8845.1</v>
      </c>
      <c r="M180" s="23">
        <v>0</v>
      </c>
      <c r="N180" s="18" t="str">
        <f>IF(M180=0,"0",(O180*M180))</f>
        <v>0</v>
      </c>
      <c r="O180" s="18">
        <f>IF(W180=1,L180,((D180*G180/H180)-P180)/(1-V180)-S180-T180)</f>
        <v>8845.1</v>
      </c>
      <c r="P180" s="18">
        <v>0</v>
      </c>
      <c r="Q180" s="18">
        <f>IF(U180=0,"0",O180*U180)</f>
        <v>2607.2198832105328</v>
      </c>
      <c r="R180" s="24">
        <f>IF(U180=0,(((D180*G180/H180)-P180-S180-T180)/(1-V180)),(((D180*G180/H180)-P180-S180-T180)/(1-V180))-((D180*G180/H180)-P180-S180-T180)*U180/(1-V180))</f>
        <v>6237.880116789467</v>
      </c>
      <c r="S180" s="20">
        <v>0</v>
      </c>
      <c r="T180" s="20">
        <v>0</v>
      </c>
      <c r="U180" s="20">
        <v>0.294764319590568</v>
      </c>
      <c r="V180" s="20">
        <v>0</v>
      </c>
      <c r="W180" s="25">
        <f>IF(V180&gt;U180,1,V180)</f>
        <v>0</v>
      </c>
      <c r="X180" s="20">
        <v>1</v>
      </c>
      <c r="Y180" s="66">
        <v>0</v>
      </c>
      <c r="Z180" s="72" t="str">
        <f>IF(OR(W180=1,W180=0),"0",(Q180-N180))</f>
        <v>0</v>
      </c>
      <c r="AA180" s="67" t="s">
        <v>496</v>
      </c>
      <c r="AB180" s="18" t="s">
        <v>497</v>
      </c>
      <c r="AC180" s="18">
        <v>4165.11</v>
      </c>
      <c r="AD180" s="18">
        <v>4165.11</v>
      </c>
      <c r="AE180" s="18">
        <f>ROUND(AC180*100,0)</f>
        <v>416511</v>
      </c>
      <c r="AF180" s="18">
        <f>ROUND(AD180*100,0)</f>
        <v>416511</v>
      </c>
      <c r="AG180" s="26" t="str">
        <f>IF(AC180=AD180,"TAM",(CONCATENATE(AE180,"/",AF180)))</f>
        <v>TAM</v>
      </c>
      <c r="AH180" s="27" t="s">
        <v>50</v>
      </c>
      <c r="AI180" s="27" t="s">
        <v>50</v>
      </c>
      <c r="AJ180" s="75" t="s">
        <v>719</v>
      </c>
      <c r="AK180" s="55" t="s">
        <v>50</v>
      </c>
      <c r="AL180" s="2" t="s">
        <v>50</v>
      </c>
    </row>
    <row r="181" spans="1:37" ht="20.25" customHeight="1">
      <c r="A181" s="56"/>
      <c r="B181" s="28"/>
      <c r="C181" s="28"/>
      <c r="D181" s="29"/>
      <c r="E181" s="30" t="s">
        <v>50</v>
      </c>
      <c r="F181" s="30"/>
      <c r="G181" s="30"/>
      <c r="H181" s="30"/>
      <c r="I181" s="29"/>
      <c r="J181" s="29"/>
      <c r="K181" s="31"/>
      <c r="L181" s="31"/>
      <c r="M181" s="31"/>
      <c r="N181" s="31"/>
      <c r="O181" s="31"/>
      <c r="P181" s="30"/>
      <c r="Q181" s="30"/>
      <c r="R181" s="30"/>
      <c r="S181" s="30"/>
      <c r="T181" s="30"/>
      <c r="U181" s="30"/>
      <c r="V181" s="30"/>
      <c r="W181" s="30"/>
      <c r="X181" s="30"/>
      <c r="Y181" s="57"/>
      <c r="Z181" s="73"/>
      <c r="AA181" s="12"/>
      <c r="AB181" s="28"/>
      <c r="AC181" s="28"/>
      <c r="AD181" s="28"/>
      <c r="AE181" s="28"/>
      <c r="AF181" s="28"/>
      <c r="AG181" s="28"/>
      <c r="AH181" s="28"/>
      <c r="AI181" s="28"/>
      <c r="AJ181" s="82"/>
      <c r="AK181" s="57"/>
    </row>
    <row r="182" spans="1:38" ht="12.75" customHeight="1">
      <c r="A182" s="54">
        <v>20</v>
      </c>
      <c r="B182" s="17">
        <v>1145</v>
      </c>
      <c r="C182" s="17" t="s">
        <v>498</v>
      </c>
      <c r="D182" s="18">
        <v>1031.54</v>
      </c>
      <c r="E182" s="19" t="s">
        <v>499</v>
      </c>
      <c r="F182" s="19" t="s">
        <v>500</v>
      </c>
      <c r="G182" s="20">
        <v>1</v>
      </c>
      <c r="H182" s="20">
        <v>1</v>
      </c>
      <c r="I182" s="18">
        <f>ROUND(G182,0)</f>
        <v>1</v>
      </c>
      <c r="J182" s="18">
        <f>ROUND(H182,0)</f>
        <v>1</v>
      </c>
      <c r="K182" s="21" t="str">
        <f>IF(I182=J182,"TAM",(CONCATENATE(G182,"/",H182)))</f>
        <v>TAM</v>
      </c>
      <c r="L182" s="22">
        <f>1031.54*1/1</f>
        <v>1031.54</v>
      </c>
      <c r="M182" s="23">
        <v>0</v>
      </c>
      <c r="N182" s="18" t="str">
        <f>IF(M182=0,"0",(O182*M182))</f>
        <v>0</v>
      </c>
      <c r="O182" s="18">
        <f>IF(W182=1,L182,((D182*G182/H182)-P182)/(1-V182)-S182-T182)</f>
        <v>1031.54</v>
      </c>
      <c r="P182" s="18">
        <v>0</v>
      </c>
      <c r="Q182" s="18">
        <f>IF(U182=0,"0",O182*U182)</f>
        <v>304.0611862304545</v>
      </c>
      <c r="R182" s="24">
        <f>IF(U182=0,(((D182*G182/H182)-P182-S182-T182)/(1-V182)),(((D182*G182/H182)-P182-S182-T182)/(1-V182))-((D182*G182/H182)-P182-S182-T182)*U182/(1-V182))</f>
        <v>727.4788137695455</v>
      </c>
      <c r="S182" s="20">
        <v>0</v>
      </c>
      <c r="T182" s="20">
        <v>0</v>
      </c>
      <c r="U182" s="20">
        <v>0.294764319590568</v>
      </c>
      <c r="V182" s="20">
        <v>0</v>
      </c>
      <c r="W182" s="25">
        <f>IF(V182&gt;U182,1,V182)</f>
        <v>0</v>
      </c>
      <c r="X182" s="20">
        <v>1</v>
      </c>
      <c r="Y182" s="66">
        <v>0</v>
      </c>
      <c r="Z182" s="72" t="str">
        <f>IF(OR(W182=1,W182=0),"0",(Q182-N182))</f>
        <v>0</v>
      </c>
      <c r="AA182" s="67" t="s">
        <v>501</v>
      </c>
      <c r="AB182" s="18" t="s">
        <v>503</v>
      </c>
      <c r="AC182" s="18">
        <v>727.48</v>
      </c>
      <c r="AD182" s="18">
        <v>1116.6</v>
      </c>
      <c r="AE182" s="18">
        <f>ROUND(AC182*100,0)</f>
        <v>72748</v>
      </c>
      <c r="AF182" s="18">
        <f>ROUND(AD182*100,0)</f>
        <v>111660</v>
      </c>
      <c r="AG182" s="26" t="str">
        <f>IF(AC182=AD182,"TAM",(CONCATENATE(AE182,"/",AF182)))</f>
        <v>72748/111660</v>
      </c>
      <c r="AH182" s="27" t="s">
        <v>50</v>
      </c>
      <c r="AI182" s="27" t="s">
        <v>50</v>
      </c>
      <c r="AJ182" s="75" t="s">
        <v>502</v>
      </c>
      <c r="AK182" s="55" t="s">
        <v>50</v>
      </c>
      <c r="AL182" s="2" t="s">
        <v>50</v>
      </c>
    </row>
    <row r="183" spans="1:37" ht="12.75" customHeight="1">
      <c r="A183" s="56"/>
      <c r="B183" s="28"/>
      <c r="C183" s="28"/>
      <c r="D183" s="29"/>
      <c r="E183" s="30" t="s">
        <v>50</v>
      </c>
      <c r="F183" s="30"/>
      <c r="G183" s="30"/>
      <c r="H183" s="30"/>
      <c r="I183" s="29"/>
      <c r="J183" s="29"/>
      <c r="K183" s="31"/>
      <c r="L183" s="31"/>
      <c r="M183" s="31"/>
      <c r="N183" s="31"/>
      <c r="O183" s="31"/>
      <c r="P183" s="30"/>
      <c r="Q183" s="30"/>
      <c r="R183" s="30"/>
      <c r="S183" s="30"/>
      <c r="T183" s="30"/>
      <c r="U183" s="30"/>
      <c r="V183" s="30"/>
      <c r="W183" s="30"/>
      <c r="X183" s="30"/>
      <c r="Y183" s="57"/>
      <c r="Z183" s="73"/>
      <c r="AA183" s="12"/>
      <c r="AB183" s="28"/>
      <c r="AC183" s="28"/>
      <c r="AD183" s="28"/>
      <c r="AE183" s="28"/>
      <c r="AF183" s="28"/>
      <c r="AG183" s="28"/>
      <c r="AH183" s="28"/>
      <c r="AI183" s="28"/>
      <c r="AJ183" s="76"/>
      <c r="AK183" s="57"/>
    </row>
    <row r="184" spans="1:38" ht="12.75" customHeight="1">
      <c r="A184" s="54">
        <v>21</v>
      </c>
      <c r="B184" s="17">
        <v>1146</v>
      </c>
      <c r="C184" s="17" t="s">
        <v>504</v>
      </c>
      <c r="D184" s="18">
        <v>163.52</v>
      </c>
      <c r="E184" s="19" t="s">
        <v>505</v>
      </c>
      <c r="F184" s="19" t="s">
        <v>506</v>
      </c>
      <c r="G184" s="20">
        <v>1</v>
      </c>
      <c r="H184" s="20">
        <v>2</v>
      </c>
      <c r="I184" s="18">
        <f>ROUND(G184,0)</f>
        <v>1</v>
      </c>
      <c r="J184" s="18">
        <f>ROUND(H184,0)</f>
        <v>2</v>
      </c>
      <c r="K184" s="21" t="str">
        <f>IF(I184=J184,"TAM",(CONCATENATE(G184,"/",H184)))</f>
        <v>1/2</v>
      </c>
      <c r="L184" s="22">
        <f>163.52*1/2</f>
        <v>81.76</v>
      </c>
      <c r="M184" s="23">
        <v>0</v>
      </c>
      <c r="N184" s="18" t="str">
        <f>IF(M184=0,"0",(O184*M184))</f>
        <v>0</v>
      </c>
      <c r="O184" s="18">
        <f>IF(W184=1,L184,((D184*G184/H184)-P184)/(1-V184)-S184-T184)</f>
        <v>81.76</v>
      </c>
      <c r="P184" s="18">
        <v>0</v>
      </c>
      <c r="Q184" s="18">
        <f>IF(U184=0,"0",O184*U184)</f>
        <v>24.09993076972484</v>
      </c>
      <c r="R184" s="24">
        <f>IF(U184=0,(((D184*G184/H184)-P184-S184-T184)/(1-V184)),(((D184*G184/H184)-P184-S184-T184)/(1-V184))-((D184*G184/H184)-P184-S184-T184)*U184/(1-V184))</f>
        <v>57.66006923027517</v>
      </c>
      <c r="S184" s="20">
        <v>0</v>
      </c>
      <c r="T184" s="20">
        <v>0</v>
      </c>
      <c r="U184" s="20">
        <v>0.294764319590568</v>
      </c>
      <c r="V184" s="20">
        <v>0</v>
      </c>
      <c r="W184" s="25">
        <f>IF(V184&gt;U184,1,V184)</f>
        <v>0</v>
      </c>
      <c r="X184" s="20">
        <v>1</v>
      </c>
      <c r="Y184" s="66">
        <v>0</v>
      </c>
      <c r="Z184" s="72" t="str">
        <f>IF(OR(W184=1,W184=0),"0",(Q184-N184))</f>
        <v>0</v>
      </c>
      <c r="AA184" s="67" t="s">
        <v>507</v>
      </c>
      <c r="AB184" s="18" t="s">
        <v>508</v>
      </c>
      <c r="AC184" s="18">
        <v>57.66</v>
      </c>
      <c r="AD184" s="18">
        <v>1116.6</v>
      </c>
      <c r="AE184" s="18">
        <f>ROUND(AC184*100,0)</f>
        <v>5766</v>
      </c>
      <c r="AF184" s="18">
        <f>ROUND(AD184*100,0)</f>
        <v>111660</v>
      </c>
      <c r="AG184" s="26" t="str">
        <f>IF(AC184=AD184,"TAM",(CONCATENATE(AE184,"/",AF184)))</f>
        <v>5766/111660</v>
      </c>
      <c r="AH184" s="27" t="s">
        <v>50</v>
      </c>
      <c r="AI184" s="27" t="s">
        <v>50</v>
      </c>
      <c r="AJ184" s="76"/>
      <c r="AK184" s="55" t="s">
        <v>50</v>
      </c>
      <c r="AL184" s="2" t="s">
        <v>50</v>
      </c>
    </row>
    <row r="185" spans="1:37" ht="12.75" customHeight="1">
      <c r="A185" s="56"/>
      <c r="B185" s="28"/>
      <c r="C185" s="28"/>
      <c r="D185" s="29"/>
      <c r="E185" s="30" t="s">
        <v>50</v>
      </c>
      <c r="F185" s="30"/>
      <c r="G185" s="30"/>
      <c r="H185" s="30"/>
      <c r="I185" s="29"/>
      <c r="J185" s="29"/>
      <c r="K185" s="31"/>
      <c r="L185" s="31"/>
      <c r="M185" s="31"/>
      <c r="N185" s="31"/>
      <c r="O185" s="31"/>
      <c r="P185" s="30"/>
      <c r="Q185" s="30"/>
      <c r="R185" s="30"/>
      <c r="S185" s="30"/>
      <c r="T185" s="30"/>
      <c r="U185" s="30"/>
      <c r="V185" s="30"/>
      <c r="W185" s="30"/>
      <c r="X185" s="30"/>
      <c r="Y185" s="57"/>
      <c r="Z185" s="73"/>
      <c r="AA185" s="12"/>
      <c r="AB185" s="28"/>
      <c r="AC185" s="28"/>
      <c r="AD185" s="28"/>
      <c r="AE185" s="28"/>
      <c r="AF185" s="28"/>
      <c r="AG185" s="28"/>
      <c r="AH185" s="28"/>
      <c r="AI185" s="28"/>
      <c r="AJ185" s="76"/>
      <c r="AK185" s="57"/>
    </row>
    <row r="186" spans="1:38" ht="12.75" customHeight="1">
      <c r="A186" s="54">
        <v>22</v>
      </c>
      <c r="B186" s="17">
        <v>1146</v>
      </c>
      <c r="C186" s="17" t="s">
        <v>509</v>
      </c>
      <c r="D186" s="18">
        <v>163.52</v>
      </c>
      <c r="E186" s="19" t="s">
        <v>510</v>
      </c>
      <c r="F186" s="19" t="s">
        <v>511</v>
      </c>
      <c r="G186" s="20">
        <v>1</v>
      </c>
      <c r="H186" s="20">
        <v>2</v>
      </c>
      <c r="I186" s="18">
        <f>ROUND(G186,0)</f>
        <v>1</v>
      </c>
      <c r="J186" s="18">
        <f>ROUND(H186,0)</f>
        <v>2</v>
      </c>
      <c r="K186" s="21" t="str">
        <f>IF(I186=J186,"TAM",(CONCATENATE(G186,"/",H186)))</f>
        <v>1/2</v>
      </c>
      <c r="L186" s="22">
        <f>163.52*1/2</f>
        <v>81.76</v>
      </c>
      <c r="M186" s="23">
        <v>0</v>
      </c>
      <c r="N186" s="18" t="str">
        <f>IF(M186=0,"0",(O186*M186))</f>
        <v>0</v>
      </c>
      <c r="O186" s="18">
        <f>IF(W186=1,L186,((D186*G186/H186)-P186)/(1-V186)-S186-T186)</f>
        <v>81.76</v>
      </c>
      <c r="P186" s="18">
        <v>0</v>
      </c>
      <c r="Q186" s="18">
        <f>IF(U186=0,"0",O186*U186)</f>
        <v>24.09993076972484</v>
      </c>
      <c r="R186" s="24">
        <f>IF(U186=0,(((D186*G186/H186)-P186-S186-T186)/(1-V186)),(((D186*G186/H186)-P186-S186-T186)/(1-V186))-((D186*G186/H186)-P186-S186-T186)*U186/(1-V186))</f>
        <v>57.66006923027517</v>
      </c>
      <c r="S186" s="20">
        <v>0</v>
      </c>
      <c r="T186" s="20">
        <v>0</v>
      </c>
      <c r="U186" s="20">
        <v>0.294764319590568</v>
      </c>
      <c r="V186" s="20">
        <v>0</v>
      </c>
      <c r="W186" s="25">
        <f>IF(V186&gt;U186,1,V186)</f>
        <v>0</v>
      </c>
      <c r="X186" s="20">
        <v>1</v>
      </c>
      <c r="Y186" s="66">
        <v>0</v>
      </c>
      <c r="Z186" s="72" t="str">
        <f>IF(OR(W186=1,W186=0),"0",(Q186-N186))</f>
        <v>0</v>
      </c>
      <c r="AA186" s="67" t="s">
        <v>512</v>
      </c>
      <c r="AB186" s="18" t="s">
        <v>513</v>
      </c>
      <c r="AC186" s="18">
        <v>57.66</v>
      </c>
      <c r="AD186" s="18">
        <v>1116.6</v>
      </c>
      <c r="AE186" s="18">
        <f>ROUND(AC186*100,0)</f>
        <v>5766</v>
      </c>
      <c r="AF186" s="18">
        <f>ROUND(AD186*100,0)</f>
        <v>111660</v>
      </c>
      <c r="AG186" s="26" t="str">
        <f>IF(AC186=AD186,"TAM",(CONCATENATE(AE186,"/",AF186)))</f>
        <v>5766/111660</v>
      </c>
      <c r="AH186" s="27" t="s">
        <v>50</v>
      </c>
      <c r="AI186" s="27" t="s">
        <v>50</v>
      </c>
      <c r="AJ186" s="76"/>
      <c r="AK186" s="55" t="s">
        <v>50</v>
      </c>
      <c r="AL186" s="2" t="s">
        <v>50</v>
      </c>
    </row>
    <row r="187" spans="1:37" ht="12.75" customHeight="1">
      <c r="A187" s="56"/>
      <c r="B187" s="28"/>
      <c r="C187" s="28"/>
      <c r="D187" s="29"/>
      <c r="E187" s="30" t="s">
        <v>50</v>
      </c>
      <c r="F187" s="30"/>
      <c r="G187" s="30"/>
      <c r="H187" s="30"/>
      <c r="I187" s="29"/>
      <c r="J187" s="29"/>
      <c r="K187" s="31"/>
      <c r="L187" s="31"/>
      <c r="M187" s="31"/>
      <c r="N187" s="31"/>
      <c r="O187" s="31"/>
      <c r="P187" s="30"/>
      <c r="Q187" s="30"/>
      <c r="R187" s="30"/>
      <c r="S187" s="30"/>
      <c r="T187" s="30"/>
      <c r="U187" s="30"/>
      <c r="V187" s="30"/>
      <c r="W187" s="30"/>
      <c r="X187" s="30"/>
      <c r="Y187" s="57"/>
      <c r="Z187" s="73"/>
      <c r="AA187" s="12"/>
      <c r="AB187" s="28"/>
      <c r="AC187" s="28"/>
      <c r="AD187" s="28"/>
      <c r="AE187" s="28"/>
      <c r="AF187" s="28"/>
      <c r="AG187" s="28"/>
      <c r="AH187" s="28"/>
      <c r="AI187" s="28"/>
      <c r="AJ187" s="76"/>
      <c r="AK187" s="57"/>
    </row>
    <row r="188" spans="1:38" ht="12.75" customHeight="1">
      <c r="A188" s="54">
        <v>30</v>
      </c>
      <c r="B188" s="17">
        <v>1149</v>
      </c>
      <c r="C188" s="17" t="s">
        <v>514</v>
      </c>
      <c r="D188" s="18">
        <v>8845.1</v>
      </c>
      <c r="E188" s="19" t="s">
        <v>515</v>
      </c>
      <c r="F188" s="19" t="s">
        <v>516</v>
      </c>
      <c r="G188" s="20">
        <v>1</v>
      </c>
      <c r="H188" s="20">
        <v>1</v>
      </c>
      <c r="I188" s="18">
        <f>ROUND(G188,0)</f>
        <v>1</v>
      </c>
      <c r="J188" s="18">
        <f>ROUND(H188,0)</f>
        <v>1</v>
      </c>
      <c r="K188" s="21" t="str">
        <f>IF(I188=J188,"TAM",(CONCATENATE(G188,"/",H188)))</f>
        <v>TAM</v>
      </c>
      <c r="L188" s="22">
        <f>8845.1*1/1</f>
        <v>8845.1</v>
      </c>
      <c r="M188" s="23">
        <v>0</v>
      </c>
      <c r="N188" s="18" t="str">
        <f>IF(M188=0,"0",(O188*M188))</f>
        <v>0</v>
      </c>
      <c r="O188" s="18">
        <f>IF(W188=1,L188,((D188*G188/H188)-P188)/(1-V188)-S188-T188)</f>
        <v>8845.1</v>
      </c>
      <c r="P188" s="18">
        <v>0</v>
      </c>
      <c r="Q188" s="18">
        <f>IF(U188=0,"0",O188*U188)</f>
        <v>2607.2198832105328</v>
      </c>
      <c r="R188" s="24">
        <f>IF(U188=0,(((D188*G188/H188)-P188-S188-T188)/(1-V188)),(((D188*G188/H188)-P188-S188-T188)/(1-V188))-((D188*G188/H188)-P188-S188-T188)*U188/(1-V188))</f>
        <v>6237.880116789467</v>
      </c>
      <c r="S188" s="20">
        <v>0</v>
      </c>
      <c r="T188" s="20">
        <v>0</v>
      </c>
      <c r="U188" s="20">
        <v>0.294764319590568</v>
      </c>
      <c r="V188" s="20">
        <v>0</v>
      </c>
      <c r="W188" s="25">
        <f>IF(V188&gt;U188,1,V188)</f>
        <v>0</v>
      </c>
      <c r="X188" s="20">
        <v>1</v>
      </c>
      <c r="Y188" s="66">
        <v>0</v>
      </c>
      <c r="Z188" s="72" t="str">
        <f>IF(OR(W188=1,W188=0),"0",(Q188-N188))</f>
        <v>0</v>
      </c>
      <c r="AA188" s="67" t="s">
        <v>517</v>
      </c>
      <c r="AB188" s="18" t="s">
        <v>518</v>
      </c>
      <c r="AC188" s="18">
        <v>273.8</v>
      </c>
      <c r="AD188" s="18">
        <v>1116.6</v>
      </c>
      <c r="AE188" s="18">
        <f>ROUND(AC188*100,0)</f>
        <v>27380</v>
      </c>
      <c r="AF188" s="18">
        <f>ROUND(AD188*100,0)</f>
        <v>111660</v>
      </c>
      <c r="AG188" s="26" t="str">
        <f>IF(AC188=AD188,"TAM",(CONCATENATE(AE188,"/",AF188)))</f>
        <v>27380/111660</v>
      </c>
      <c r="AH188" s="27" t="s">
        <v>50</v>
      </c>
      <c r="AI188" s="27" t="s">
        <v>50</v>
      </c>
      <c r="AJ188" s="76"/>
      <c r="AK188" s="55" t="s">
        <v>50</v>
      </c>
      <c r="AL188" s="2" t="s">
        <v>50</v>
      </c>
    </row>
    <row r="189" spans="1:37" ht="12.75" customHeight="1">
      <c r="A189" s="56"/>
      <c r="B189" s="28"/>
      <c r="C189" s="28"/>
      <c r="D189" s="29"/>
      <c r="E189" s="30" t="s">
        <v>50</v>
      </c>
      <c r="F189" s="30"/>
      <c r="G189" s="30"/>
      <c r="H189" s="30"/>
      <c r="I189" s="29"/>
      <c r="J189" s="29"/>
      <c r="K189" s="31"/>
      <c r="L189" s="31"/>
      <c r="M189" s="31"/>
      <c r="N189" s="31"/>
      <c r="O189" s="31"/>
      <c r="P189" s="30"/>
      <c r="Q189" s="30"/>
      <c r="R189" s="30"/>
      <c r="S189" s="30"/>
      <c r="T189" s="30"/>
      <c r="U189" s="30"/>
      <c r="V189" s="30"/>
      <c r="W189" s="30"/>
      <c r="X189" s="30"/>
      <c r="Y189" s="57"/>
      <c r="Z189" s="73"/>
      <c r="AA189" s="12"/>
      <c r="AB189" s="28"/>
      <c r="AC189" s="28"/>
      <c r="AD189" s="28"/>
      <c r="AE189" s="28"/>
      <c r="AF189" s="28"/>
      <c r="AG189" s="28"/>
      <c r="AH189" s="28"/>
      <c r="AI189" s="28"/>
      <c r="AJ189" s="82"/>
      <c r="AK189" s="57"/>
    </row>
    <row r="190" spans="1:38" ht="12.75" customHeight="1">
      <c r="A190" s="54">
        <v>181</v>
      </c>
      <c r="B190" s="17">
        <v>1121</v>
      </c>
      <c r="C190" s="17" t="s">
        <v>519</v>
      </c>
      <c r="D190" s="18">
        <v>6657.07</v>
      </c>
      <c r="E190" s="19" t="s">
        <v>520</v>
      </c>
      <c r="F190" s="19" t="s">
        <v>521</v>
      </c>
      <c r="G190" s="20">
        <v>1</v>
      </c>
      <c r="H190" s="20">
        <v>1</v>
      </c>
      <c r="I190" s="18">
        <f>ROUND(G190,0)</f>
        <v>1</v>
      </c>
      <c r="J190" s="18">
        <f>ROUND(H190,0)</f>
        <v>1</v>
      </c>
      <c r="K190" s="21" t="str">
        <f>IF(I190=J190,"TAM",(CONCATENATE(G190,"/",H190)))</f>
        <v>TAM</v>
      </c>
      <c r="L190" s="22">
        <f>6657.07*1/1</f>
        <v>6657.07</v>
      </c>
      <c r="M190" s="23">
        <v>0</v>
      </c>
      <c r="N190" s="18" t="str">
        <f>IF(M190=0,"0",(O190*M190))</f>
        <v>0</v>
      </c>
      <c r="O190" s="18">
        <f>IF(W190=1,L190,((D190*G190/H190)-P190)/(1-V190)-S190-T190)</f>
        <v>6657.07</v>
      </c>
      <c r="P190" s="18">
        <v>0</v>
      </c>
      <c r="Q190" s="18">
        <f>IF(U190=0,"0",O190*U190)</f>
        <v>1962.2667090167822</v>
      </c>
      <c r="R190" s="24">
        <f>IF(U190=0,(((D190*G190/H190)-P190-S190-T190)/(1-V190)),(((D190*G190/H190)-P190-S190-T190)/(1-V190))-((D190*G190/H190)-P190-S190-T190)*U190/(1-V190))</f>
        <v>4694.803290983217</v>
      </c>
      <c r="S190" s="20">
        <v>0</v>
      </c>
      <c r="T190" s="20">
        <v>0</v>
      </c>
      <c r="U190" s="20">
        <v>0.294764319590568</v>
      </c>
      <c r="V190" s="20">
        <v>0</v>
      </c>
      <c r="W190" s="25">
        <f>IF(V190&gt;U190,1,V190)</f>
        <v>0</v>
      </c>
      <c r="X190" s="20">
        <v>1</v>
      </c>
      <c r="Y190" s="66">
        <v>0</v>
      </c>
      <c r="Z190" s="72" t="str">
        <f>IF(OR(W190=1,W190=0),"0",(Q190-N190))</f>
        <v>0</v>
      </c>
      <c r="AA190" s="67" t="s">
        <v>523</v>
      </c>
      <c r="AB190" s="18" t="s">
        <v>525</v>
      </c>
      <c r="AC190" s="18">
        <v>290.07</v>
      </c>
      <c r="AD190" s="18">
        <v>1807.51</v>
      </c>
      <c r="AE190" s="18">
        <f>ROUND(AC190*100,0)</f>
        <v>29007</v>
      </c>
      <c r="AF190" s="18">
        <f>ROUND(AD190*100,0)</f>
        <v>180751</v>
      </c>
      <c r="AG190" s="26" t="str">
        <f>IF(AC190=AD190,"TAM",(CONCATENATE(AE190,"/",AF190)))</f>
        <v>29007/180751</v>
      </c>
      <c r="AH190" s="27" t="s">
        <v>50</v>
      </c>
      <c r="AI190" s="27" t="s">
        <v>50</v>
      </c>
      <c r="AJ190" s="79" t="s">
        <v>524</v>
      </c>
      <c r="AK190" s="55" t="s">
        <v>50</v>
      </c>
      <c r="AL190" s="2" t="s">
        <v>50</v>
      </c>
    </row>
    <row r="191" spans="1:37" ht="52.5" customHeight="1">
      <c r="A191" s="56"/>
      <c r="B191" s="28"/>
      <c r="C191" s="28"/>
      <c r="D191" s="29"/>
      <c r="E191" s="1" t="s">
        <v>522</v>
      </c>
      <c r="F191" s="30"/>
      <c r="G191" s="30"/>
      <c r="H191" s="30"/>
      <c r="I191" s="29"/>
      <c r="J191" s="29"/>
      <c r="K191" s="31"/>
      <c r="L191" s="31"/>
      <c r="M191" s="31"/>
      <c r="N191" s="31"/>
      <c r="O191" s="31"/>
      <c r="P191" s="30"/>
      <c r="Q191" s="30"/>
      <c r="R191" s="30"/>
      <c r="S191" s="30"/>
      <c r="T191" s="30"/>
      <c r="U191" s="30"/>
      <c r="V191" s="30"/>
      <c r="W191" s="30"/>
      <c r="X191" s="30"/>
      <c r="Y191" s="57"/>
      <c r="Z191" s="73"/>
      <c r="AA191" s="12"/>
      <c r="AB191" s="28"/>
      <c r="AC191" s="28"/>
      <c r="AD191" s="28"/>
      <c r="AE191" s="28"/>
      <c r="AF191" s="28"/>
      <c r="AG191" s="28"/>
      <c r="AH191" s="28"/>
      <c r="AI191" s="28"/>
      <c r="AJ191" s="80"/>
      <c r="AK191" s="57"/>
    </row>
    <row r="192" spans="1:38" ht="12.75" customHeight="1">
      <c r="A192" s="54">
        <v>14</v>
      </c>
      <c r="B192" s="17">
        <v>1144</v>
      </c>
      <c r="C192" s="17" t="s">
        <v>526</v>
      </c>
      <c r="D192" s="18">
        <v>1879.53</v>
      </c>
      <c r="E192" s="19" t="s">
        <v>527</v>
      </c>
      <c r="F192" s="19" t="s">
        <v>528</v>
      </c>
      <c r="G192" s="20">
        <v>1</v>
      </c>
      <c r="H192" s="20">
        <v>1</v>
      </c>
      <c r="I192" s="18">
        <f>ROUND(G192,0)</f>
        <v>1</v>
      </c>
      <c r="J192" s="18">
        <f>ROUND(H192,0)</f>
        <v>1</v>
      </c>
      <c r="K192" s="21" t="str">
        <f>IF(I192=J192,"TAM",(CONCATENATE(G192,"/",H192)))</f>
        <v>TAM</v>
      </c>
      <c r="L192" s="22">
        <f>1879.53*1/1</f>
        <v>1879.53</v>
      </c>
      <c r="M192" s="23">
        <v>0</v>
      </c>
      <c r="N192" s="18" t="str">
        <f>IF(M192=0,"0",(O192*M192))</f>
        <v>0</v>
      </c>
      <c r="O192" s="18">
        <f>IF(W192=1,L192,((D192*G192/H192)-P192)/(1-V192)-S192-T192)</f>
        <v>1879.53</v>
      </c>
      <c r="P192" s="18">
        <v>0</v>
      </c>
      <c r="Q192" s="18">
        <f>IF(U192=0,"0",O192*U192)</f>
        <v>554.0183816000603</v>
      </c>
      <c r="R192" s="24">
        <f>IF(U192=0,(((D192*G192/H192)-P192-S192-T192)/(1-V192)),(((D192*G192/H192)-P192-S192-T192)/(1-V192))-((D192*G192/H192)-P192-S192-T192)*U192/(1-V192))</f>
        <v>1325.5116183999398</v>
      </c>
      <c r="S192" s="20">
        <v>0</v>
      </c>
      <c r="T192" s="20">
        <v>0</v>
      </c>
      <c r="U192" s="20">
        <v>0.294764319590568</v>
      </c>
      <c r="V192" s="20">
        <v>0</v>
      </c>
      <c r="W192" s="25">
        <f>IF(V192&gt;U192,1,V192)</f>
        <v>0</v>
      </c>
      <c r="X192" s="20">
        <v>1</v>
      </c>
      <c r="Y192" s="66">
        <v>0</v>
      </c>
      <c r="Z192" s="72" t="str">
        <f>IF(OR(W192=1,W192=0),"0",(Q192-N192))</f>
        <v>0</v>
      </c>
      <c r="AA192" s="67" t="s">
        <v>530</v>
      </c>
      <c r="AB192" s="18" t="s">
        <v>531</v>
      </c>
      <c r="AC192" s="18">
        <v>1325.51</v>
      </c>
      <c r="AD192" s="18">
        <v>1807.51</v>
      </c>
      <c r="AE192" s="18">
        <f>ROUND(AC192*100,0)</f>
        <v>132551</v>
      </c>
      <c r="AF192" s="18">
        <f>ROUND(AD192*100,0)</f>
        <v>180751</v>
      </c>
      <c r="AG192" s="26" t="str">
        <f>IF(AC192=AD192,"TAM",(CONCATENATE(AE192,"/",AF192)))</f>
        <v>132551/180751</v>
      </c>
      <c r="AH192" s="27" t="s">
        <v>50</v>
      </c>
      <c r="AI192" s="27" t="s">
        <v>50</v>
      </c>
      <c r="AJ192" s="80"/>
      <c r="AK192" s="55" t="s">
        <v>50</v>
      </c>
      <c r="AL192" s="2" t="s">
        <v>50</v>
      </c>
    </row>
    <row r="193" spans="1:37" ht="52.5" customHeight="1">
      <c r="A193" s="56"/>
      <c r="B193" s="28"/>
      <c r="C193" s="28"/>
      <c r="D193" s="29"/>
      <c r="E193" s="1" t="s">
        <v>529</v>
      </c>
      <c r="F193" s="30"/>
      <c r="G193" s="30"/>
      <c r="H193" s="30"/>
      <c r="I193" s="29"/>
      <c r="J193" s="29"/>
      <c r="K193" s="31"/>
      <c r="L193" s="31"/>
      <c r="M193" s="31"/>
      <c r="N193" s="31"/>
      <c r="O193" s="31"/>
      <c r="P193" s="30"/>
      <c r="Q193" s="30"/>
      <c r="R193" s="30"/>
      <c r="S193" s="30"/>
      <c r="T193" s="30"/>
      <c r="U193" s="30"/>
      <c r="V193" s="30"/>
      <c r="W193" s="30"/>
      <c r="X193" s="30"/>
      <c r="Y193" s="57"/>
      <c r="Z193" s="73"/>
      <c r="AA193" s="12"/>
      <c r="AB193" s="28"/>
      <c r="AC193" s="28"/>
      <c r="AD193" s="28"/>
      <c r="AE193" s="28"/>
      <c r="AF193" s="28"/>
      <c r="AG193" s="28"/>
      <c r="AH193" s="28"/>
      <c r="AI193" s="28"/>
      <c r="AJ193" s="80"/>
      <c r="AK193" s="57"/>
    </row>
    <row r="194" spans="1:38" ht="12.75" customHeight="1">
      <c r="A194" s="54">
        <v>27</v>
      </c>
      <c r="B194" s="17">
        <v>1147</v>
      </c>
      <c r="C194" s="17" t="s">
        <v>532</v>
      </c>
      <c r="D194" s="18">
        <v>35.45</v>
      </c>
      <c r="E194" s="19" t="s">
        <v>533</v>
      </c>
      <c r="F194" s="19" t="s">
        <v>534</v>
      </c>
      <c r="G194" s="20">
        <v>1</v>
      </c>
      <c r="H194" s="20">
        <v>1</v>
      </c>
      <c r="I194" s="18">
        <f>ROUND(G194,0)</f>
        <v>1</v>
      </c>
      <c r="J194" s="18">
        <f>ROUND(H194,0)</f>
        <v>1</v>
      </c>
      <c r="K194" s="21" t="str">
        <f>IF(I194=J194,"TAM",(CONCATENATE(G194,"/",H194)))</f>
        <v>TAM</v>
      </c>
      <c r="L194" s="22">
        <f>35.45*1/1</f>
        <v>35.45</v>
      </c>
      <c r="M194" s="23">
        <v>0</v>
      </c>
      <c r="N194" s="18" t="str">
        <f>IF(M194=0,"0",(O194*M194))</f>
        <v>0</v>
      </c>
      <c r="O194" s="18">
        <f>IF(W194=1,L194,((D194*G194/H194)-P194)/(1-V194)-S194-T194)</f>
        <v>35.45</v>
      </c>
      <c r="P194" s="18">
        <v>0</v>
      </c>
      <c r="Q194" s="18">
        <f>IF(U194=0,"0",O194*U194)</f>
        <v>10.449395129485636</v>
      </c>
      <c r="R194" s="24">
        <f>IF(U194=0,(((D194*G194/H194)-P194-S194-T194)/(1-V194)),(((D194*G194/H194)-P194-S194-T194)/(1-V194))-((D194*G194/H194)-P194-S194-T194)*U194/(1-V194))</f>
        <v>25.000604870514366</v>
      </c>
      <c r="S194" s="20">
        <v>0</v>
      </c>
      <c r="T194" s="20">
        <v>0</v>
      </c>
      <c r="U194" s="20">
        <v>0.294764319590568</v>
      </c>
      <c r="V194" s="20">
        <v>0</v>
      </c>
      <c r="W194" s="25">
        <f>IF(V194&gt;U194,1,V194)</f>
        <v>0</v>
      </c>
      <c r="X194" s="20">
        <v>1</v>
      </c>
      <c r="Y194" s="66">
        <v>0</v>
      </c>
      <c r="Z194" s="72" t="str">
        <f>IF(OR(W194=1,W194=0),"0",(Q194-N194))</f>
        <v>0</v>
      </c>
      <c r="AA194" s="67" t="s">
        <v>536</v>
      </c>
      <c r="AB194" s="18" t="s">
        <v>537</v>
      </c>
      <c r="AC194" s="18">
        <v>25</v>
      </c>
      <c r="AD194" s="18">
        <v>1807.51</v>
      </c>
      <c r="AE194" s="18">
        <f>ROUND(AC194*100,0)</f>
        <v>2500</v>
      </c>
      <c r="AF194" s="18">
        <f>ROUND(AD194*100,0)</f>
        <v>180751</v>
      </c>
      <c r="AG194" s="26" t="str">
        <f>IF(AC194=AD194,"TAM",(CONCATENATE(AE194,"/",AF194)))</f>
        <v>2500/180751</v>
      </c>
      <c r="AH194" s="27" t="s">
        <v>50</v>
      </c>
      <c r="AI194" s="27" t="s">
        <v>50</v>
      </c>
      <c r="AJ194" s="80"/>
      <c r="AK194" s="55" t="s">
        <v>50</v>
      </c>
      <c r="AL194" s="2" t="s">
        <v>50</v>
      </c>
    </row>
    <row r="195" spans="1:37" ht="60" customHeight="1">
      <c r="A195" s="56"/>
      <c r="B195" s="28"/>
      <c r="C195" s="28"/>
      <c r="D195" s="29"/>
      <c r="E195" s="1" t="s">
        <v>535</v>
      </c>
      <c r="F195" s="30"/>
      <c r="G195" s="30"/>
      <c r="H195" s="30"/>
      <c r="I195" s="29"/>
      <c r="J195" s="29"/>
      <c r="K195" s="31"/>
      <c r="L195" s="31"/>
      <c r="M195" s="31"/>
      <c r="N195" s="31"/>
      <c r="O195" s="31"/>
      <c r="P195" s="30"/>
      <c r="Q195" s="30"/>
      <c r="R195" s="30"/>
      <c r="S195" s="30"/>
      <c r="T195" s="30"/>
      <c r="U195" s="30"/>
      <c r="V195" s="30"/>
      <c r="W195" s="30"/>
      <c r="X195" s="30"/>
      <c r="Y195" s="57"/>
      <c r="Z195" s="73"/>
      <c r="AA195" s="12"/>
      <c r="AB195" s="28"/>
      <c r="AC195" s="28"/>
      <c r="AD195" s="28"/>
      <c r="AE195" s="28"/>
      <c r="AF195" s="28"/>
      <c r="AG195" s="28"/>
      <c r="AH195" s="28"/>
      <c r="AI195" s="28"/>
      <c r="AJ195" s="80"/>
      <c r="AK195" s="57"/>
    </row>
    <row r="196" spans="1:38" ht="12.75" customHeight="1">
      <c r="A196" s="54">
        <v>71</v>
      </c>
      <c r="B196" s="17">
        <v>1189</v>
      </c>
      <c r="C196" s="17" t="s">
        <v>538</v>
      </c>
      <c r="D196" s="18">
        <v>236.7</v>
      </c>
      <c r="E196" s="19" t="s">
        <v>539</v>
      </c>
      <c r="F196" s="19" t="s">
        <v>540</v>
      </c>
      <c r="G196" s="20">
        <v>1</v>
      </c>
      <c r="H196" s="20">
        <v>1</v>
      </c>
      <c r="I196" s="18">
        <f>ROUND(G196,0)</f>
        <v>1</v>
      </c>
      <c r="J196" s="18">
        <f>ROUND(H196,0)</f>
        <v>1</v>
      </c>
      <c r="K196" s="21" t="str">
        <f>IF(I196=J196,"TAM",(CONCATENATE(G196,"/",H196)))</f>
        <v>TAM</v>
      </c>
      <c r="L196" s="22">
        <f>236.7*1/1</f>
        <v>236.7</v>
      </c>
      <c r="M196" s="23">
        <v>0</v>
      </c>
      <c r="N196" s="18" t="str">
        <f>IF(M196=0,"0",(O196*M196))</f>
        <v>0</v>
      </c>
      <c r="O196" s="18">
        <f>IF(W196=1,L196,((D196*G196/H196)-P196)/(1-V196)-S196-T196)</f>
        <v>236.7</v>
      </c>
      <c r="P196" s="18">
        <v>0</v>
      </c>
      <c r="Q196" s="18">
        <f>IF(U196=0,"0",O196*U196)</f>
        <v>69.77071444708744</v>
      </c>
      <c r="R196" s="24">
        <f>IF(U196=0,(((D196*G196/H196)-P196-S196-T196)/(1-V196)),(((D196*G196/H196)-P196-S196-T196)/(1-V196))-((D196*G196/H196)-P196-S196-T196)*U196/(1-V196))</f>
        <v>166.92928555291255</v>
      </c>
      <c r="S196" s="20">
        <v>0</v>
      </c>
      <c r="T196" s="20">
        <v>0</v>
      </c>
      <c r="U196" s="20">
        <v>0.294764319590568</v>
      </c>
      <c r="V196" s="20">
        <v>0</v>
      </c>
      <c r="W196" s="25">
        <f>IF(V196&gt;U196,1,V196)</f>
        <v>0</v>
      </c>
      <c r="X196" s="20">
        <v>1</v>
      </c>
      <c r="Y196" s="66">
        <v>0</v>
      </c>
      <c r="Z196" s="72" t="str">
        <f>IF(OR(W196=1,W196=0),"0",(Q196-N196))</f>
        <v>0</v>
      </c>
      <c r="AA196" s="67" t="s">
        <v>542</v>
      </c>
      <c r="AB196" s="18" t="s">
        <v>543</v>
      </c>
      <c r="AC196" s="18">
        <v>166.93</v>
      </c>
      <c r="AD196" s="18">
        <v>1807.51</v>
      </c>
      <c r="AE196" s="18">
        <f>ROUND(AC196*100,0)</f>
        <v>16693</v>
      </c>
      <c r="AF196" s="18">
        <f>ROUND(AD196*100,0)</f>
        <v>180751</v>
      </c>
      <c r="AG196" s="26" t="str">
        <f>IF(AC196=AD196,"TAM",(CONCATENATE(AE196,"/",AF196)))</f>
        <v>16693/180751</v>
      </c>
      <c r="AH196" s="27" t="s">
        <v>50</v>
      </c>
      <c r="AI196" s="27" t="s">
        <v>50</v>
      </c>
      <c r="AJ196" s="80"/>
      <c r="AK196" s="55" t="s">
        <v>50</v>
      </c>
      <c r="AL196" s="2" t="s">
        <v>50</v>
      </c>
    </row>
    <row r="197" spans="1:37" ht="54" customHeight="1">
      <c r="A197" s="56"/>
      <c r="B197" s="28"/>
      <c r="C197" s="28"/>
      <c r="D197" s="29"/>
      <c r="E197" s="1" t="s">
        <v>541</v>
      </c>
      <c r="F197" s="30"/>
      <c r="G197" s="30"/>
      <c r="H197" s="30"/>
      <c r="I197" s="29"/>
      <c r="J197" s="29"/>
      <c r="K197" s="31"/>
      <c r="L197" s="31"/>
      <c r="M197" s="31"/>
      <c r="N197" s="31"/>
      <c r="O197" s="31"/>
      <c r="P197" s="30"/>
      <c r="Q197" s="30"/>
      <c r="R197" s="30"/>
      <c r="S197" s="30"/>
      <c r="T197" s="30"/>
      <c r="U197" s="30"/>
      <c r="V197" s="30"/>
      <c r="W197" s="30"/>
      <c r="X197" s="30"/>
      <c r="Y197" s="57"/>
      <c r="Z197" s="73"/>
      <c r="AA197" s="12"/>
      <c r="AB197" s="28"/>
      <c r="AC197" s="28"/>
      <c r="AD197" s="28"/>
      <c r="AE197" s="28"/>
      <c r="AF197" s="28"/>
      <c r="AG197" s="28"/>
      <c r="AH197" s="28"/>
      <c r="AI197" s="28"/>
      <c r="AJ197" s="81"/>
      <c r="AK197" s="57"/>
    </row>
    <row r="198" spans="1:38" ht="12.75" customHeight="1">
      <c r="A198" s="54">
        <v>12</v>
      </c>
      <c r="B198" s="17">
        <v>1142</v>
      </c>
      <c r="C198" s="17" t="s">
        <v>544</v>
      </c>
      <c r="D198" s="18">
        <v>736.52</v>
      </c>
      <c r="E198" s="19" t="s">
        <v>545</v>
      </c>
      <c r="F198" s="19" t="s">
        <v>546</v>
      </c>
      <c r="G198" s="20">
        <v>1</v>
      </c>
      <c r="H198" s="20">
        <v>1</v>
      </c>
      <c r="I198" s="18">
        <f>ROUND(G198,0)</f>
        <v>1</v>
      </c>
      <c r="J198" s="18">
        <f>ROUND(H198,0)</f>
        <v>1</v>
      </c>
      <c r="K198" s="21" t="str">
        <f>IF(I198=J198,"TAM",(CONCATENATE(G198,"/",H198)))</f>
        <v>TAM</v>
      </c>
      <c r="L198" s="22">
        <f>736.52*1/1</f>
        <v>736.52</v>
      </c>
      <c r="M198" s="23">
        <v>0</v>
      </c>
      <c r="N198" s="18" t="str">
        <f>IF(M198=0,"0",(O198*M198))</f>
        <v>0</v>
      </c>
      <c r="O198" s="18">
        <f>IF(W198=1,L198,((D198*G198/H198)-P198)/(1-V198)-S198-T198)</f>
        <v>736.52</v>
      </c>
      <c r="P198" s="18">
        <v>0</v>
      </c>
      <c r="Q198" s="18">
        <f>IF(U198=0,"0",O198*U198)</f>
        <v>217.09981666484512</v>
      </c>
      <c r="R198" s="24">
        <f>IF(U198=0,(((D198*G198/H198)-P198-S198-T198)/(1-V198)),(((D198*G198/H198)-P198-S198-T198)/(1-V198))-((D198*G198/H198)-P198-S198-T198)*U198/(1-V198))</f>
        <v>519.4201833351549</v>
      </c>
      <c r="S198" s="20">
        <v>0</v>
      </c>
      <c r="T198" s="20">
        <v>0</v>
      </c>
      <c r="U198" s="20">
        <v>0.294764319590568</v>
      </c>
      <c r="V198" s="20">
        <v>0</v>
      </c>
      <c r="W198" s="25">
        <f>IF(V198&gt;U198,1,V198)</f>
        <v>0</v>
      </c>
      <c r="X198" s="20">
        <v>1</v>
      </c>
      <c r="Y198" s="66">
        <v>0</v>
      </c>
      <c r="Z198" s="72" t="str">
        <f>IF(OR(W198=1,W198=0),"0",(Q198-N198))</f>
        <v>0</v>
      </c>
      <c r="AA198" s="67" t="s">
        <v>547</v>
      </c>
      <c r="AB198" s="18" t="s">
        <v>549</v>
      </c>
      <c r="AC198" s="18">
        <v>519.42</v>
      </c>
      <c r="AD198" s="18">
        <v>1180.15</v>
      </c>
      <c r="AE198" s="18">
        <f>ROUND(AC198*100,0)</f>
        <v>51942</v>
      </c>
      <c r="AF198" s="18">
        <f>ROUND(AD198*100,0)</f>
        <v>118015</v>
      </c>
      <c r="AG198" s="26" t="str">
        <f>IF(AC198=AD198,"TAM",(CONCATENATE(AE198,"/",AF198)))</f>
        <v>51942/118015</v>
      </c>
      <c r="AH198" s="27" t="s">
        <v>50</v>
      </c>
      <c r="AI198" s="27" t="s">
        <v>50</v>
      </c>
      <c r="AJ198" s="79" t="s">
        <v>548</v>
      </c>
      <c r="AK198" s="55" t="s">
        <v>50</v>
      </c>
      <c r="AL198" s="2" t="s">
        <v>50</v>
      </c>
    </row>
    <row r="199" spans="1:37" ht="12.75" customHeight="1">
      <c r="A199" s="56"/>
      <c r="B199" s="28"/>
      <c r="C199" s="28"/>
      <c r="D199" s="29"/>
      <c r="E199" s="30" t="s">
        <v>50</v>
      </c>
      <c r="F199" s="30"/>
      <c r="G199" s="30"/>
      <c r="H199" s="30"/>
      <c r="I199" s="29"/>
      <c r="J199" s="29"/>
      <c r="K199" s="31"/>
      <c r="L199" s="31"/>
      <c r="M199" s="31"/>
      <c r="N199" s="31"/>
      <c r="O199" s="31"/>
      <c r="P199" s="30"/>
      <c r="Q199" s="30"/>
      <c r="R199" s="30"/>
      <c r="S199" s="30"/>
      <c r="T199" s="30"/>
      <c r="U199" s="30"/>
      <c r="V199" s="30"/>
      <c r="W199" s="30"/>
      <c r="X199" s="30"/>
      <c r="Y199" s="57"/>
      <c r="Z199" s="73"/>
      <c r="AA199" s="12"/>
      <c r="AB199" s="28"/>
      <c r="AC199" s="28"/>
      <c r="AD199" s="28"/>
      <c r="AE199" s="28"/>
      <c r="AF199" s="28"/>
      <c r="AG199" s="28"/>
      <c r="AH199" s="28"/>
      <c r="AI199" s="28"/>
      <c r="AJ199" s="80"/>
      <c r="AK199" s="57"/>
    </row>
    <row r="200" spans="1:38" ht="12.75" customHeight="1">
      <c r="A200" s="54">
        <v>13</v>
      </c>
      <c r="B200" s="17">
        <v>1143</v>
      </c>
      <c r="C200" s="17" t="s">
        <v>550</v>
      </c>
      <c r="D200" s="18">
        <v>448.86</v>
      </c>
      <c r="E200" s="19" t="s">
        <v>551</v>
      </c>
      <c r="F200" s="19" t="s">
        <v>552</v>
      </c>
      <c r="G200" s="20">
        <v>1</v>
      </c>
      <c r="H200" s="20">
        <v>1</v>
      </c>
      <c r="I200" s="18">
        <f>ROUND(G200,0)</f>
        <v>1</v>
      </c>
      <c r="J200" s="18">
        <f>ROUND(H200,0)</f>
        <v>1</v>
      </c>
      <c r="K200" s="21" t="str">
        <f>IF(I200=J200,"TAM",(CONCATENATE(G200,"/",H200)))</f>
        <v>TAM</v>
      </c>
      <c r="L200" s="22">
        <f>448.86*1/1</f>
        <v>448.86</v>
      </c>
      <c r="M200" s="23">
        <v>0</v>
      </c>
      <c r="N200" s="18" t="str">
        <f>IF(M200=0,"0",(O200*M200))</f>
        <v>0</v>
      </c>
      <c r="O200" s="18">
        <f>IF(W200=1,L200,((D200*G200/H200)-P200)/(1-V200)-S200-T200)</f>
        <v>448.86</v>
      </c>
      <c r="P200" s="18">
        <v>0</v>
      </c>
      <c r="Q200" s="18">
        <f>IF(U200=0,"0",O200*U200)</f>
        <v>132.30791249142234</v>
      </c>
      <c r="R200" s="24">
        <f>IF(U200=0,(((D200*G200/H200)-P200-S200-T200)/(1-V200)),(((D200*G200/H200)-P200-S200-T200)/(1-V200))-((D200*G200/H200)-P200-S200-T200)*U200/(1-V200))</f>
        <v>316.55208750857764</v>
      </c>
      <c r="S200" s="20">
        <v>0</v>
      </c>
      <c r="T200" s="20">
        <v>0</v>
      </c>
      <c r="U200" s="20">
        <v>0.294764319590568</v>
      </c>
      <c r="V200" s="20">
        <v>0</v>
      </c>
      <c r="W200" s="25">
        <f>IF(V200&gt;U200,1,V200)</f>
        <v>0</v>
      </c>
      <c r="X200" s="20">
        <v>1</v>
      </c>
      <c r="Y200" s="66">
        <v>0</v>
      </c>
      <c r="Z200" s="72" t="str">
        <f>IF(OR(W200=1,W200=0),"0",(Q200-N200))</f>
        <v>0</v>
      </c>
      <c r="AA200" s="67" t="s">
        <v>553</v>
      </c>
      <c r="AB200" s="18" t="s">
        <v>554</v>
      </c>
      <c r="AC200" s="18">
        <v>316.55</v>
      </c>
      <c r="AD200" s="18">
        <v>1180.15</v>
      </c>
      <c r="AE200" s="18">
        <f>ROUND(AC200*100,0)</f>
        <v>31655</v>
      </c>
      <c r="AF200" s="18">
        <f>ROUND(AD200*100,0)</f>
        <v>118015</v>
      </c>
      <c r="AG200" s="26" t="str">
        <f>IF(AC200=AD200,"TAM",(CONCATENATE(AE200,"/",AF200)))</f>
        <v>31655/118015</v>
      </c>
      <c r="AH200" s="27" t="s">
        <v>50</v>
      </c>
      <c r="AI200" s="27" t="s">
        <v>50</v>
      </c>
      <c r="AJ200" s="80"/>
      <c r="AK200" s="55" t="s">
        <v>50</v>
      </c>
      <c r="AL200" s="2" t="s">
        <v>50</v>
      </c>
    </row>
    <row r="201" spans="1:37" ht="12.75" customHeight="1">
      <c r="A201" s="56"/>
      <c r="B201" s="28"/>
      <c r="C201" s="28"/>
      <c r="D201" s="29"/>
      <c r="E201" s="30" t="s">
        <v>50</v>
      </c>
      <c r="F201" s="30"/>
      <c r="G201" s="30"/>
      <c r="H201" s="30"/>
      <c r="I201" s="29"/>
      <c r="J201" s="29"/>
      <c r="K201" s="31"/>
      <c r="L201" s="31"/>
      <c r="M201" s="31"/>
      <c r="N201" s="31"/>
      <c r="O201" s="31"/>
      <c r="P201" s="30"/>
      <c r="Q201" s="30"/>
      <c r="R201" s="30"/>
      <c r="S201" s="30"/>
      <c r="T201" s="30"/>
      <c r="U201" s="30"/>
      <c r="V201" s="30"/>
      <c r="W201" s="30"/>
      <c r="X201" s="30"/>
      <c r="Y201" s="57"/>
      <c r="Z201" s="73"/>
      <c r="AA201" s="12"/>
      <c r="AB201" s="28"/>
      <c r="AC201" s="28"/>
      <c r="AD201" s="28"/>
      <c r="AE201" s="28"/>
      <c r="AF201" s="28"/>
      <c r="AG201" s="28"/>
      <c r="AH201" s="28"/>
      <c r="AI201" s="28"/>
      <c r="AJ201" s="80"/>
      <c r="AK201" s="57"/>
    </row>
    <row r="202" spans="1:38" ht="12.75" customHeight="1">
      <c r="A202" s="54">
        <v>30</v>
      </c>
      <c r="B202" s="17">
        <v>1149</v>
      </c>
      <c r="C202" s="17" t="s">
        <v>555</v>
      </c>
      <c r="D202" s="18">
        <v>8845.1</v>
      </c>
      <c r="E202" s="19" t="s">
        <v>556</v>
      </c>
      <c r="F202" s="19" t="s">
        <v>557</v>
      </c>
      <c r="G202" s="20">
        <v>1</v>
      </c>
      <c r="H202" s="20">
        <v>1</v>
      </c>
      <c r="I202" s="18">
        <f>ROUND(G202,0)</f>
        <v>1</v>
      </c>
      <c r="J202" s="18">
        <f>ROUND(H202,0)</f>
        <v>1</v>
      </c>
      <c r="K202" s="21" t="str">
        <f>IF(I202=J202,"TAM",(CONCATENATE(G202,"/",H202)))</f>
        <v>TAM</v>
      </c>
      <c r="L202" s="22">
        <f>8845.1*1/1</f>
        <v>8845.1</v>
      </c>
      <c r="M202" s="23">
        <v>0</v>
      </c>
      <c r="N202" s="18" t="str">
        <f>IF(M202=0,"0",(O202*M202))</f>
        <v>0</v>
      </c>
      <c r="O202" s="18">
        <f>IF(W202=1,L202,((D202*G202/H202)-P202)/(1-V202)-S202-T202)</f>
        <v>8845.1</v>
      </c>
      <c r="P202" s="18">
        <v>0</v>
      </c>
      <c r="Q202" s="18">
        <f>IF(U202=0,"0",O202*U202)</f>
        <v>2607.2198832105328</v>
      </c>
      <c r="R202" s="24">
        <f>IF(U202=0,(((D202*G202/H202)-P202-S202-T202)/(1-V202)),(((D202*G202/H202)-P202-S202-T202)/(1-V202))-((D202*G202/H202)-P202-S202-T202)*U202/(1-V202))</f>
        <v>6237.880116789467</v>
      </c>
      <c r="S202" s="20">
        <v>0</v>
      </c>
      <c r="T202" s="20">
        <v>0</v>
      </c>
      <c r="U202" s="20">
        <v>0.294764319590568</v>
      </c>
      <c r="V202" s="20">
        <v>0</v>
      </c>
      <c r="W202" s="25">
        <f>IF(V202&gt;U202,1,V202)</f>
        <v>0</v>
      </c>
      <c r="X202" s="20">
        <v>1</v>
      </c>
      <c r="Y202" s="66">
        <v>0</v>
      </c>
      <c r="Z202" s="72" t="str">
        <f>IF(OR(W202=1,W202=0),"0",(Q202-N202))</f>
        <v>0</v>
      </c>
      <c r="AA202" s="67" t="s">
        <v>558</v>
      </c>
      <c r="AB202" s="18" t="s">
        <v>559</v>
      </c>
      <c r="AC202" s="18">
        <v>344.18</v>
      </c>
      <c r="AD202" s="18">
        <v>1180.15</v>
      </c>
      <c r="AE202" s="18">
        <f>ROUND(AC202*100,0)</f>
        <v>34418</v>
      </c>
      <c r="AF202" s="18">
        <f>ROUND(AD202*100,0)</f>
        <v>118015</v>
      </c>
      <c r="AG202" s="26" t="str">
        <f>IF(AC202=AD202,"TAM",(CONCATENATE(AE202,"/",AF202)))</f>
        <v>34418/118015</v>
      </c>
      <c r="AH202" s="27" t="s">
        <v>50</v>
      </c>
      <c r="AI202" s="27" t="s">
        <v>50</v>
      </c>
      <c r="AJ202" s="80"/>
      <c r="AK202" s="55" t="s">
        <v>50</v>
      </c>
      <c r="AL202" s="2" t="s">
        <v>50</v>
      </c>
    </row>
    <row r="203" spans="1:37" ht="12.75" customHeight="1">
      <c r="A203" s="56"/>
      <c r="B203" s="28"/>
      <c r="C203" s="28"/>
      <c r="D203" s="29"/>
      <c r="E203" s="30" t="s">
        <v>50</v>
      </c>
      <c r="F203" s="30"/>
      <c r="G203" s="30"/>
      <c r="H203" s="30"/>
      <c r="I203" s="29"/>
      <c r="J203" s="29"/>
      <c r="K203" s="31"/>
      <c r="L203" s="31"/>
      <c r="M203" s="31"/>
      <c r="N203" s="31"/>
      <c r="O203" s="31"/>
      <c r="P203" s="30"/>
      <c r="Q203" s="30"/>
      <c r="R203" s="30"/>
      <c r="S203" s="30"/>
      <c r="T203" s="30"/>
      <c r="U203" s="30"/>
      <c r="V203" s="30"/>
      <c r="W203" s="30"/>
      <c r="X203" s="30"/>
      <c r="Y203" s="57"/>
      <c r="Z203" s="73"/>
      <c r="AA203" s="12"/>
      <c r="AB203" s="28"/>
      <c r="AC203" s="28"/>
      <c r="AD203" s="28"/>
      <c r="AE203" s="28"/>
      <c r="AF203" s="28"/>
      <c r="AG203" s="28"/>
      <c r="AH203" s="28"/>
      <c r="AI203" s="28"/>
      <c r="AJ203" s="81"/>
      <c r="AK203" s="57"/>
    </row>
    <row r="204" spans="1:38" ht="12.75" customHeight="1">
      <c r="A204" s="54">
        <v>8</v>
      </c>
      <c r="B204" s="17">
        <v>1141</v>
      </c>
      <c r="C204" s="17" t="s">
        <v>560</v>
      </c>
      <c r="D204" s="18">
        <v>2194.65</v>
      </c>
      <c r="E204" s="19" t="s">
        <v>561</v>
      </c>
      <c r="F204" s="19" t="s">
        <v>562</v>
      </c>
      <c r="G204" s="20">
        <v>1</v>
      </c>
      <c r="H204" s="20">
        <v>5</v>
      </c>
      <c r="I204" s="18">
        <f>ROUND(G204,0)</f>
        <v>1</v>
      </c>
      <c r="J204" s="18">
        <f>ROUND(H204,0)</f>
        <v>5</v>
      </c>
      <c r="K204" s="21" t="str">
        <f>IF(I204=J204,"TAM",(CONCATENATE(G204,"/",H204)))</f>
        <v>1/5</v>
      </c>
      <c r="L204" s="22">
        <f>2194.65*1/5</f>
        <v>438.93000000000006</v>
      </c>
      <c r="M204" s="23">
        <v>0</v>
      </c>
      <c r="N204" s="18" t="str">
        <f>IF(M204=0,"0",(O204*M204))</f>
        <v>0</v>
      </c>
      <c r="O204" s="18">
        <f>IF(W204=1,L204,((D204*G204/H204)-P204)/(1-V204)-S204-T204)</f>
        <v>438.93</v>
      </c>
      <c r="P204" s="18">
        <v>0</v>
      </c>
      <c r="Q204" s="18">
        <f>IF(U204=0,"0",O204*U204)</f>
        <v>129.380902797888</v>
      </c>
      <c r="R204" s="24">
        <f>IF(U204=0,(((D204*G204/H204)-P204-S204-T204)/(1-V204)),(((D204*G204/H204)-P204-S204-T204)/(1-V204))-((D204*G204/H204)-P204-S204-T204)*U204/(1-V204))</f>
        <v>309.54909720211197</v>
      </c>
      <c r="S204" s="20">
        <v>0</v>
      </c>
      <c r="T204" s="20">
        <v>0</v>
      </c>
      <c r="U204" s="20">
        <v>0.294764319590568</v>
      </c>
      <c r="V204" s="20">
        <v>0</v>
      </c>
      <c r="W204" s="25">
        <f>IF(V204&gt;U204,1,V204)</f>
        <v>0</v>
      </c>
      <c r="X204" s="20">
        <v>1</v>
      </c>
      <c r="Y204" s="66">
        <v>0</v>
      </c>
      <c r="Z204" s="72" t="str">
        <f>IF(OR(W204=1,W204=0),"0",(Q204-N204))</f>
        <v>0</v>
      </c>
      <c r="AA204" s="67" t="s">
        <v>563</v>
      </c>
      <c r="AB204" s="18" t="s">
        <v>565</v>
      </c>
      <c r="AC204" s="18">
        <v>309.55</v>
      </c>
      <c r="AD204" s="18">
        <v>1547.75</v>
      </c>
      <c r="AE204" s="18">
        <f>ROUND(AC204*100,0)</f>
        <v>30955</v>
      </c>
      <c r="AF204" s="18">
        <f>ROUND(AD204*100,0)</f>
        <v>154775</v>
      </c>
      <c r="AG204" s="26" t="str">
        <f>IF(AC204=AD204,"TAM",(CONCATENATE(AE204,"/",AF204)))</f>
        <v>30955/154775</v>
      </c>
      <c r="AH204" s="27" t="s">
        <v>50</v>
      </c>
      <c r="AI204" s="27" t="s">
        <v>50</v>
      </c>
      <c r="AJ204" s="75" t="s">
        <v>564</v>
      </c>
      <c r="AK204" s="55" t="s">
        <v>50</v>
      </c>
      <c r="AL204" s="2" t="s">
        <v>50</v>
      </c>
    </row>
    <row r="205" spans="1:37" ht="12.75" customHeight="1">
      <c r="A205" s="56"/>
      <c r="B205" s="28"/>
      <c r="C205" s="28"/>
      <c r="D205" s="29"/>
      <c r="E205" s="30" t="s">
        <v>50</v>
      </c>
      <c r="F205" s="30"/>
      <c r="G205" s="30"/>
      <c r="H205" s="30"/>
      <c r="I205" s="29"/>
      <c r="J205" s="29"/>
      <c r="K205" s="31"/>
      <c r="L205" s="31"/>
      <c r="M205" s="31"/>
      <c r="N205" s="31"/>
      <c r="O205" s="31"/>
      <c r="P205" s="30"/>
      <c r="Q205" s="30"/>
      <c r="R205" s="30"/>
      <c r="S205" s="30"/>
      <c r="T205" s="30"/>
      <c r="U205" s="30"/>
      <c r="V205" s="30"/>
      <c r="W205" s="30"/>
      <c r="X205" s="30"/>
      <c r="Y205" s="57"/>
      <c r="Z205" s="73"/>
      <c r="AA205" s="12"/>
      <c r="AB205" s="28"/>
      <c r="AC205" s="28"/>
      <c r="AD205" s="28"/>
      <c r="AE205" s="28"/>
      <c r="AF205" s="28"/>
      <c r="AG205" s="28"/>
      <c r="AH205" s="28"/>
      <c r="AI205" s="28"/>
      <c r="AJ205" s="76"/>
      <c r="AK205" s="57"/>
    </row>
    <row r="206" spans="1:38" ht="12.75" customHeight="1">
      <c r="A206" s="54">
        <v>9</v>
      </c>
      <c r="B206" s="17">
        <v>1141</v>
      </c>
      <c r="C206" s="17" t="s">
        <v>566</v>
      </c>
      <c r="D206" s="18">
        <v>2194.65</v>
      </c>
      <c r="E206" s="19" t="s">
        <v>567</v>
      </c>
      <c r="F206" s="19" t="s">
        <v>568</v>
      </c>
      <c r="G206" s="20">
        <v>1</v>
      </c>
      <c r="H206" s="20">
        <v>5</v>
      </c>
      <c r="I206" s="18">
        <f>ROUND(G206,0)</f>
        <v>1</v>
      </c>
      <c r="J206" s="18">
        <f>ROUND(H206,0)</f>
        <v>5</v>
      </c>
      <c r="K206" s="21" t="str">
        <f>IF(I206=J206,"TAM",(CONCATENATE(G206,"/",H206)))</f>
        <v>1/5</v>
      </c>
      <c r="L206" s="22">
        <f>2194.65*1/5</f>
        <v>438.93000000000006</v>
      </c>
      <c r="M206" s="23">
        <v>0</v>
      </c>
      <c r="N206" s="18" t="str">
        <f>IF(M206=0,"0",(O206*M206))</f>
        <v>0</v>
      </c>
      <c r="O206" s="18">
        <f>IF(W206=1,L206,((D206*G206/H206)-P206)/(1-V206)-S206-T206)</f>
        <v>438.93</v>
      </c>
      <c r="P206" s="18">
        <v>0</v>
      </c>
      <c r="Q206" s="18">
        <f>IF(U206=0,"0",O206*U206)</f>
        <v>129.380902797888</v>
      </c>
      <c r="R206" s="24">
        <f>IF(U206=0,(((D206*G206/H206)-P206-S206-T206)/(1-V206)),(((D206*G206/H206)-P206-S206-T206)/(1-V206))-((D206*G206/H206)-P206-S206-T206)*U206/(1-V206))</f>
        <v>309.54909720211197</v>
      </c>
      <c r="S206" s="20">
        <v>0</v>
      </c>
      <c r="T206" s="20">
        <v>0</v>
      </c>
      <c r="U206" s="20">
        <v>0.294764319590568</v>
      </c>
      <c r="V206" s="20">
        <v>0</v>
      </c>
      <c r="W206" s="25">
        <f>IF(V206&gt;U206,1,V206)</f>
        <v>0</v>
      </c>
      <c r="X206" s="20">
        <v>1</v>
      </c>
      <c r="Y206" s="66">
        <v>0</v>
      </c>
      <c r="Z206" s="72" t="str">
        <f>IF(OR(W206=1,W206=0),"0",(Q206-N206))</f>
        <v>0</v>
      </c>
      <c r="AA206" s="67" t="s">
        <v>569</v>
      </c>
      <c r="AB206" s="18" t="s">
        <v>570</v>
      </c>
      <c r="AC206" s="18">
        <v>309.55</v>
      </c>
      <c r="AD206" s="18">
        <v>1547.75</v>
      </c>
      <c r="AE206" s="18">
        <f>ROUND(AC206*100,0)</f>
        <v>30955</v>
      </c>
      <c r="AF206" s="18">
        <f>ROUND(AD206*100,0)</f>
        <v>154775</v>
      </c>
      <c r="AG206" s="26" t="str">
        <f>IF(AC206=AD206,"TAM",(CONCATENATE(AE206,"/",AF206)))</f>
        <v>30955/154775</v>
      </c>
      <c r="AH206" s="27" t="s">
        <v>50</v>
      </c>
      <c r="AI206" s="27" t="s">
        <v>50</v>
      </c>
      <c r="AJ206" s="76"/>
      <c r="AK206" s="55" t="s">
        <v>50</v>
      </c>
      <c r="AL206" s="2" t="s">
        <v>50</v>
      </c>
    </row>
    <row r="207" spans="1:37" ht="12.75" customHeight="1">
      <c r="A207" s="56"/>
      <c r="B207" s="28"/>
      <c r="C207" s="28"/>
      <c r="D207" s="29"/>
      <c r="E207" s="30" t="s">
        <v>50</v>
      </c>
      <c r="F207" s="30"/>
      <c r="G207" s="30"/>
      <c r="H207" s="30"/>
      <c r="I207" s="29"/>
      <c r="J207" s="29"/>
      <c r="K207" s="31"/>
      <c r="L207" s="31"/>
      <c r="M207" s="31"/>
      <c r="N207" s="31"/>
      <c r="O207" s="31"/>
      <c r="P207" s="30"/>
      <c r="Q207" s="30"/>
      <c r="R207" s="30"/>
      <c r="S207" s="30"/>
      <c r="T207" s="30"/>
      <c r="U207" s="30"/>
      <c r="V207" s="30"/>
      <c r="W207" s="30"/>
      <c r="X207" s="30"/>
      <c r="Y207" s="57"/>
      <c r="Z207" s="73"/>
      <c r="AA207" s="12"/>
      <c r="AB207" s="28"/>
      <c r="AC207" s="28"/>
      <c r="AD207" s="28"/>
      <c r="AE207" s="28"/>
      <c r="AF207" s="28"/>
      <c r="AG207" s="28"/>
      <c r="AH207" s="28"/>
      <c r="AI207" s="28"/>
      <c r="AJ207" s="76"/>
      <c r="AK207" s="57"/>
    </row>
    <row r="208" spans="1:38" ht="12.75" customHeight="1">
      <c r="A208" s="54">
        <v>10</v>
      </c>
      <c r="B208" s="17">
        <v>1141</v>
      </c>
      <c r="C208" s="17" t="s">
        <v>571</v>
      </c>
      <c r="D208" s="18">
        <v>2194.65</v>
      </c>
      <c r="E208" s="19" t="s">
        <v>572</v>
      </c>
      <c r="F208" s="19" t="s">
        <v>573</v>
      </c>
      <c r="G208" s="20">
        <v>1</v>
      </c>
      <c r="H208" s="20">
        <v>5</v>
      </c>
      <c r="I208" s="18">
        <f>ROUND(G208,0)</f>
        <v>1</v>
      </c>
      <c r="J208" s="18">
        <f>ROUND(H208,0)</f>
        <v>5</v>
      </c>
      <c r="K208" s="21" t="str">
        <f>IF(I208=J208,"TAM",(CONCATENATE(G208,"/",H208)))</f>
        <v>1/5</v>
      </c>
      <c r="L208" s="22">
        <f>2194.65*1/5</f>
        <v>438.93000000000006</v>
      </c>
      <c r="M208" s="23">
        <v>0</v>
      </c>
      <c r="N208" s="18" t="str">
        <f>IF(M208=0,"0",(O208*M208))</f>
        <v>0</v>
      </c>
      <c r="O208" s="18">
        <f>IF(W208=1,L208,((D208*G208/H208)-P208)/(1-V208)-S208-T208)</f>
        <v>438.93</v>
      </c>
      <c r="P208" s="18">
        <v>0</v>
      </c>
      <c r="Q208" s="18">
        <f>IF(U208=0,"0",O208*U208)</f>
        <v>129.380902797888</v>
      </c>
      <c r="R208" s="24">
        <f>IF(U208=0,(((D208*G208/H208)-P208-S208-T208)/(1-V208)),(((D208*G208/H208)-P208-S208-T208)/(1-V208))-((D208*G208/H208)-P208-S208-T208)*U208/(1-V208))</f>
        <v>309.54909720211197</v>
      </c>
      <c r="S208" s="20">
        <v>0</v>
      </c>
      <c r="T208" s="20">
        <v>0</v>
      </c>
      <c r="U208" s="20">
        <v>0.294764319590568</v>
      </c>
      <c r="V208" s="20">
        <v>0</v>
      </c>
      <c r="W208" s="25">
        <f>IF(V208&gt;U208,1,V208)</f>
        <v>0</v>
      </c>
      <c r="X208" s="20">
        <v>1</v>
      </c>
      <c r="Y208" s="66">
        <v>0</v>
      </c>
      <c r="Z208" s="72" t="str">
        <f>IF(OR(W208=1,W208=0),"0",(Q208-N208))</f>
        <v>0</v>
      </c>
      <c r="AA208" s="67" t="s">
        <v>574</v>
      </c>
      <c r="AB208" s="18" t="s">
        <v>575</v>
      </c>
      <c r="AC208" s="18">
        <v>309.55</v>
      </c>
      <c r="AD208" s="18">
        <v>1547.75</v>
      </c>
      <c r="AE208" s="18">
        <f>ROUND(AC208*100,0)</f>
        <v>30955</v>
      </c>
      <c r="AF208" s="18">
        <f>ROUND(AD208*100,0)</f>
        <v>154775</v>
      </c>
      <c r="AG208" s="26" t="str">
        <f>IF(AC208=AD208,"TAM",(CONCATENATE(AE208,"/",AF208)))</f>
        <v>30955/154775</v>
      </c>
      <c r="AH208" s="27" t="s">
        <v>50</v>
      </c>
      <c r="AI208" s="27" t="s">
        <v>50</v>
      </c>
      <c r="AJ208" s="76"/>
      <c r="AK208" s="55" t="s">
        <v>50</v>
      </c>
      <c r="AL208" s="2" t="s">
        <v>50</v>
      </c>
    </row>
    <row r="209" spans="1:37" ht="12.75" customHeight="1">
      <c r="A209" s="56"/>
      <c r="B209" s="28"/>
      <c r="C209" s="28"/>
      <c r="D209" s="29"/>
      <c r="E209" s="30" t="s">
        <v>50</v>
      </c>
      <c r="F209" s="30"/>
      <c r="G209" s="30"/>
      <c r="H209" s="30"/>
      <c r="I209" s="29"/>
      <c r="J209" s="29"/>
      <c r="K209" s="31"/>
      <c r="L209" s="31"/>
      <c r="M209" s="31"/>
      <c r="N209" s="31"/>
      <c r="O209" s="31"/>
      <c r="P209" s="30"/>
      <c r="Q209" s="30"/>
      <c r="R209" s="30"/>
      <c r="S209" s="30"/>
      <c r="T209" s="30"/>
      <c r="U209" s="30"/>
      <c r="V209" s="30"/>
      <c r="W209" s="30"/>
      <c r="X209" s="30"/>
      <c r="Y209" s="57"/>
      <c r="Z209" s="73"/>
      <c r="AA209" s="12"/>
      <c r="AB209" s="28"/>
      <c r="AC209" s="28"/>
      <c r="AD209" s="28"/>
      <c r="AE209" s="28"/>
      <c r="AF209" s="28"/>
      <c r="AG209" s="28"/>
      <c r="AH209" s="28"/>
      <c r="AI209" s="28"/>
      <c r="AJ209" s="76"/>
      <c r="AK209" s="57"/>
    </row>
    <row r="210" spans="1:38" ht="12.75" customHeight="1">
      <c r="A210" s="54">
        <v>11</v>
      </c>
      <c r="B210" s="17">
        <v>1141</v>
      </c>
      <c r="C210" s="17" t="s">
        <v>576</v>
      </c>
      <c r="D210" s="18">
        <v>2194.65</v>
      </c>
      <c r="E210" s="19" t="s">
        <v>577</v>
      </c>
      <c r="F210" s="19" t="s">
        <v>578</v>
      </c>
      <c r="G210" s="20">
        <v>1</v>
      </c>
      <c r="H210" s="20">
        <v>5</v>
      </c>
      <c r="I210" s="18">
        <f>ROUND(G210,0)</f>
        <v>1</v>
      </c>
      <c r="J210" s="18">
        <f>ROUND(H210,0)</f>
        <v>5</v>
      </c>
      <c r="K210" s="21" t="str">
        <f>IF(I210=J210,"TAM",(CONCATENATE(G210,"/",H210)))</f>
        <v>1/5</v>
      </c>
      <c r="L210" s="22">
        <f>2194.65*1/5</f>
        <v>438.93000000000006</v>
      </c>
      <c r="M210" s="23">
        <v>0</v>
      </c>
      <c r="N210" s="18" t="str">
        <f>IF(M210=0,"0",(O210*M210))</f>
        <v>0</v>
      </c>
      <c r="O210" s="18">
        <f>IF(W210=1,L210,((D210*G210/H210)-P210)/(1-V210)-S210-T210)</f>
        <v>438.93</v>
      </c>
      <c r="P210" s="18">
        <v>0</v>
      </c>
      <c r="Q210" s="18">
        <f>IF(U210=0,"0",O210*U210)</f>
        <v>129.380902797888</v>
      </c>
      <c r="R210" s="24">
        <f>IF(U210=0,(((D210*G210/H210)-P210-S210-T210)/(1-V210)),(((D210*G210/H210)-P210-S210-T210)/(1-V210))-((D210*G210/H210)-P210-S210-T210)*U210/(1-V210))</f>
        <v>309.54909720211197</v>
      </c>
      <c r="S210" s="20">
        <v>0</v>
      </c>
      <c r="T210" s="20">
        <v>0</v>
      </c>
      <c r="U210" s="20">
        <v>0.294764319590568</v>
      </c>
      <c r="V210" s="20">
        <v>0</v>
      </c>
      <c r="W210" s="25">
        <f>IF(V210&gt;U210,1,V210)</f>
        <v>0</v>
      </c>
      <c r="X210" s="20">
        <v>1</v>
      </c>
      <c r="Y210" s="66">
        <v>0</v>
      </c>
      <c r="Z210" s="72" t="str">
        <f>IF(OR(W210=1,W210=0),"0",(Q210-N210))</f>
        <v>0</v>
      </c>
      <c r="AA210" s="67" t="s">
        <v>579</v>
      </c>
      <c r="AB210" s="18" t="s">
        <v>580</v>
      </c>
      <c r="AC210" s="18">
        <v>309.55</v>
      </c>
      <c r="AD210" s="18">
        <v>1547.75</v>
      </c>
      <c r="AE210" s="18">
        <f>ROUND(AC210*100,0)</f>
        <v>30955</v>
      </c>
      <c r="AF210" s="18">
        <f>ROUND(AD210*100,0)</f>
        <v>154775</v>
      </c>
      <c r="AG210" s="26" t="str">
        <f>IF(AC210=AD210,"TAM",(CONCATENATE(AE210,"/",AF210)))</f>
        <v>30955/154775</v>
      </c>
      <c r="AH210" s="27" t="s">
        <v>50</v>
      </c>
      <c r="AI210" s="27" t="s">
        <v>50</v>
      </c>
      <c r="AJ210" s="76"/>
      <c r="AK210" s="55" t="s">
        <v>50</v>
      </c>
      <c r="AL210" s="2" t="s">
        <v>50</v>
      </c>
    </row>
    <row r="211" spans="1:37" ht="12.75" customHeight="1">
      <c r="A211" s="56"/>
      <c r="B211" s="28"/>
      <c r="C211" s="28"/>
      <c r="D211" s="29"/>
      <c r="E211" s="30" t="s">
        <v>50</v>
      </c>
      <c r="F211" s="30"/>
      <c r="G211" s="30"/>
      <c r="H211" s="30"/>
      <c r="I211" s="29"/>
      <c r="J211" s="29"/>
      <c r="K211" s="31"/>
      <c r="L211" s="31"/>
      <c r="M211" s="31"/>
      <c r="N211" s="31"/>
      <c r="O211" s="31"/>
      <c r="P211" s="30"/>
      <c r="Q211" s="30"/>
      <c r="R211" s="30"/>
      <c r="S211" s="30"/>
      <c r="T211" s="30"/>
      <c r="U211" s="30"/>
      <c r="V211" s="30"/>
      <c r="W211" s="30"/>
      <c r="X211" s="30"/>
      <c r="Y211" s="57"/>
      <c r="Z211" s="73"/>
      <c r="AA211" s="12"/>
      <c r="AB211" s="28"/>
      <c r="AC211" s="28"/>
      <c r="AD211" s="28"/>
      <c r="AE211" s="28"/>
      <c r="AF211" s="28"/>
      <c r="AG211" s="28"/>
      <c r="AH211" s="28"/>
      <c r="AI211" s="28"/>
      <c r="AJ211" s="76"/>
      <c r="AK211" s="57"/>
    </row>
    <row r="212" spans="1:38" ht="12.75" customHeight="1">
      <c r="A212" s="54">
        <v>7</v>
      </c>
      <c r="B212" s="17">
        <v>1141</v>
      </c>
      <c r="C212" s="17" t="s">
        <v>581</v>
      </c>
      <c r="D212" s="18">
        <v>2194.65</v>
      </c>
      <c r="E212" s="19" t="s">
        <v>582</v>
      </c>
      <c r="F212" s="19" t="s">
        <v>583</v>
      </c>
      <c r="G212" s="20">
        <v>1</v>
      </c>
      <c r="H212" s="20">
        <v>5</v>
      </c>
      <c r="I212" s="18">
        <f>ROUND(G212,0)</f>
        <v>1</v>
      </c>
      <c r="J212" s="18">
        <f>ROUND(H212,0)</f>
        <v>5</v>
      </c>
      <c r="K212" s="21" t="str">
        <f>IF(I212=J212,"TAM",(CONCATENATE(G212,"/",H212)))</f>
        <v>1/5</v>
      </c>
      <c r="L212" s="22">
        <f>2194.65*1/5</f>
        <v>438.93000000000006</v>
      </c>
      <c r="M212" s="23">
        <v>0</v>
      </c>
      <c r="N212" s="18" t="str">
        <f>IF(M212=0,"0",(O212*M212))</f>
        <v>0</v>
      </c>
      <c r="O212" s="18">
        <f>IF(W212=1,L212,((D212*G212/H212)-P212)/(1-V212)-S212-T212)</f>
        <v>438.93</v>
      </c>
      <c r="P212" s="18">
        <v>0</v>
      </c>
      <c r="Q212" s="18">
        <f>IF(U212=0,"0",O212*U212)</f>
        <v>129.380902797888</v>
      </c>
      <c r="R212" s="24">
        <f>IF(U212=0,(((D212*G212/H212)-P212-S212-T212)/(1-V212)),(((D212*G212/H212)-P212-S212-T212)/(1-V212))-((D212*G212/H212)-P212-S212-T212)*U212/(1-V212))</f>
        <v>309.54909720211197</v>
      </c>
      <c r="S212" s="20">
        <v>0</v>
      </c>
      <c r="T212" s="20">
        <v>0</v>
      </c>
      <c r="U212" s="20">
        <v>0.294764319590568</v>
      </c>
      <c r="V212" s="20">
        <v>0</v>
      </c>
      <c r="W212" s="25">
        <f>IF(V212&gt;U212,1,V212)</f>
        <v>0</v>
      </c>
      <c r="X212" s="20">
        <v>1</v>
      </c>
      <c r="Y212" s="66">
        <v>0</v>
      </c>
      <c r="Z212" s="72" t="str">
        <f>IF(OR(W212=1,W212=0),"0",(Q212-N212))</f>
        <v>0</v>
      </c>
      <c r="AA212" s="67" t="s">
        <v>584</v>
      </c>
      <c r="AB212" s="18" t="s">
        <v>585</v>
      </c>
      <c r="AC212" s="18">
        <v>309.55</v>
      </c>
      <c r="AD212" s="18">
        <v>1547.75</v>
      </c>
      <c r="AE212" s="18">
        <f>ROUND(AC212*100,0)</f>
        <v>30955</v>
      </c>
      <c r="AF212" s="18">
        <f>ROUND(AD212*100,0)</f>
        <v>154775</v>
      </c>
      <c r="AG212" s="26" t="str">
        <f>IF(AC212=AD212,"TAM",(CONCATENATE(AE212,"/",AF212)))</f>
        <v>30955/154775</v>
      </c>
      <c r="AH212" s="27" t="s">
        <v>50</v>
      </c>
      <c r="AI212" s="27" t="s">
        <v>50</v>
      </c>
      <c r="AJ212" s="76"/>
      <c r="AK212" s="55" t="s">
        <v>50</v>
      </c>
      <c r="AL212" s="2" t="s">
        <v>50</v>
      </c>
    </row>
    <row r="213" spans="1:37" ht="12.75" customHeight="1">
      <c r="A213" s="56"/>
      <c r="B213" s="28"/>
      <c r="C213" s="28"/>
      <c r="D213" s="29"/>
      <c r="E213" s="30" t="s">
        <v>50</v>
      </c>
      <c r="F213" s="30"/>
      <c r="G213" s="30"/>
      <c r="H213" s="30"/>
      <c r="I213" s="29"/>
      <c r="J213" s="29"/>
      <c r="K213" s="31"/>
      <c r="L213" s="31"/>
      <c r="M213" s="31"/>
      <c r="N213" s="31"/>
      <c r="O213" s="31"/>
      <c r="P213" s="30"/>
      <c r="Q213" s="30"/>
      <c r="R213" s="30"/>
      <c r="S213" s="30"/>
      <c r="T213" s="30"/>
      <c r="U213" s="30"/>
      <c r="V213" s="30"/>
      <c r="W213" s="30"/>
      <c r="X213" s="30"/>
      <c r="Y213" s="57"/>
      <c r="Z213" s="73"/>
      <c r="AA213" s="12"/>
      <c r="AB213" s="28"/>
      <c r="AC213" s="28"/>
      <c r="AD213" s="28"/>
      <c r="AE213" s="28"/>
      <c r="AF213" s="28"/>
      <c r="AG213" s="28"/>
      <c r="AH213" s="28"/>
      <c r="AI213" s="28"/>
      <c r="AJ213" s="82"/>
      <c r="AK213" s="57"/>
    </row>
    <row r="214" spans="1:38" ht="12.75" customHeight="1">
      <c r="A214" s="54">
        <v>164</v>
      </c>
      <c r="B214" s="17">
        <v>1101</v>
      </c>
      <c r="C214" s="17" t="s">
        <v>586</v>
      </c>
      <c r="D214" s="18">
        <v>306.04</v>
      </c>
      <c r="E214" s="19" t="s">
        <v>587</v>
      </c>
      <c r="F214" s="19" t="s">
        <v>588</v>
      </c>
      <c r="G214" s="20">
        <v>1</v>
      </c>
      <c r="H214" s="20">
        <v>1</v>
      </c>
      <c r="I214" s="18">
        <f>ROUND(G214,0)</f>
        <v>1</v>
      </c>
      <c r="J214" s="18">
        <f>ROUND(H214,0)</f>
        <v>1</v>
      </c>
      <c r="K214" s="21" t="str">
        <f>IF(I214=J214,"TAM",(CONCATENATE(G214,"/",H214)))</f>
        <v>TAM</v>
      </c>
      <c r="L214" s="22">
        <f>306.04*1/1</f>
        <v>306.04</v>
      </c>
      <c r="M214" s="23">
        <v>0</v>
      </c>
      <c r="N214" s="18" t="str">
        <f>IF(M214=0,"0",(O214*M214))</f>
        <v>0</v>
      </c>
      <c r="O214" s="18">
        <f>IF(W214=1,L214,((D214*G214/H214)-P214)/(1-V214)-S214-T214)</f>
        <v>306.04</v>
      </c>
      <c r="P214" s="18">
        <v>0</v>
      </c>
      <c r="Q214" s="18">
        <f>IF(U214=0,"0",O214*U214)</f>
        <v>90.20967236749743</v>
      </c>
      <c r="R214" s="24">
        <f>IF(U214=0,(((D214*G214/H214)-P214-S214-T214)/(1-V214)),(((D214*G214/H214)-P214-S214-T214)/(1-V214))-((D214*G214/H214)-P214-S214-T214)*U214/(1-V214))</f>
        <v>215.8303276325026</v>
      </c>
      <c r="S214" s="20">
        <v>0</v>
      </c>
      <c r="T214" s="20">
        <v>0</v>
      </c>
      <c r="U214" s="20">
        <v>0.294764319590568</v>
      </c>
      <c r="V214" s="20">
        <v>0</v>
      </c>
      <c r="W214" s="25">
        <f>IF(V214&gt;U214,1,V214)</f>
        <v>0</v>
      </c>
      <c r="X214" s="20">
        <v>1</v>
      </c>
      <c r="Y214" s="66">
        <v>0</v>
      </c>
      <c r="Z214" s="72" t="str">
        <f>IF(OR(W214=1,W214=0),"0",(Q214-N214))</f>
        <v>0</v>
      </c>
      <c r="AA214" s="67" t="s">
        <v>589</v>
      </c>
      <c r="AB214" s="18" t="s">
        <v>590</v>
      </c>
      <c r="AC214" s="18">
        <v>215.83</v>
      </c>
      <c r="AD214" s="18">
        <v>1641.22</v>
      </c>
      <c r="AE214" s="18">
        <f>ROUND(AC214*100,0)</f>
        <v>21583</v>
      </c>
      <c r="AF214" s="18">
        <f>ROUND(AD214*100,0)</f>
        <v>164122</v>
      </c>
      <c r="AG214" s="26" t="str">
        <f>IF(AC214=AD214,"TAM",(CONCATENATE(AE214,"/",AF214)))</f>
        <v>21583/164122</v>
      </c>
      <c r="AH214" s="27" t="s">
        <v>50</v>
      </c>
      <c r="AI214" s="27" t="s">
        <v>50</v>
      </c>
      <c r="AJ214" s="75" t="s">
        <v>720</v>
      </c>
      <c r="AK214" s="55" t="s">
        <v>50</v>
      </c>
      <c r="AL214" s="2" t="s">
        <v>50</v>
      </c>
    </row>
    <row r="215" spans="1:37" ht="12.75" customHeight="1">
      <c r="A215" s="56"/>
      <c r="B215" s="28"/>
      <c r="C215" s="28"/>
      <c r="D215" s="29"/>
      <c r="E215" s="30" t="s">
        <v>50</v>
      </c>
      <c r="F215" s="30"/>
      <c r="G215" s="30"/>
      <c r="H215" s="30"/>
      <c r="I215" s="29"/>
      <c r="J215" s="29"/>
      <c r="K215" s="31"/>
      <c r="L215" s="31"/>
      <c r="M215" s="31"/>
      <c r="N215" s="31"/>
      <c r="O215" s="31"/>
      <c r="P215" s="30"/>
      <c r="Q215" s="30"/>
      <c r="R215" s="30"/>
      <c r="S215" s="30"/>
      <c r="T215" s="30"/>
      <c r="U215" s="30"/>
      <c r="V215" s="30"/>
      <c r="W215" s="30"/>
      <c r="X215" s="30"/>
      <c r="Y215" s="57"/>
      <c r="Z215" s="73"/>
      <c r="AA215" s="12"/>
      <c r="AB215" s="28"/>
      <c r="AC215" s="28"/>
      <c r="AD215" s="28"/>
      <c r="AE215" s="28"/>
      <c r="AF215" s="28"/>
      <c r="AG215" s="28"/>
      <c r="AH215" s="28"/>
      <c r="AI215" s="28"/>
      <c r="AJ215" s="76"/>
      <c r="AK215" s="57"/>
    </row>
    <row r="216" spans="1:38" ht="12.75" customHeight="1">
      <c r="A216" s="54">
        <v>2</v>
      </c>
      <c r="B216" s="17">
        <v>1136</v>
      </c>
      <c r="C216" s="17" t="s">
        <v>591</v>
      </c>
      <c r="D216" s="18">
        <v>244.77</v>
      </c>
      <c r="E216" s="19" t="s">
        <v>592</v>
      </c>
      <c r="F216" s="19" t="s">
        <v>593</v>
      </c>
      <c r="G216" s="20">
        <v>1</v>
      </c>
      <c r="H216" s="20">
        <v>1</v>
      </c>
      <c r="I216" s="18">
        <f>ROUND(G216,0)</f>
        <v>1</v>
      </c>
      <c r="J216" s="18">
        <f>ROUND(H216,0)</f>
        <v>1</v>
      </c>
      <c r="K216" s="21" t="str">
        <f>IF(I216=J216,"TAM",(CONCATENATE(G216,"/",H216)))</f>
        <v>TAM</v>
      </c>
      <c r="L216" s="22">
        <f>244.77*1/1</f>
        <v>244.77</v>
      </c>
      <c r="M216" s="23">
        <v>0</v>
      </c>
      <c r="N216" s="18" t="str">
        <f>IF(M216=0,"0",(O216*M216))</f>
        <v>0</v>
      </c>
      <c r="O216" s="18">
        <f>IF(W216=1,L216,((D216*G216/H216)-P216)/(1-V216)-S216-T216)</f>
        <v>244.77</v>
      </c>
      <c r="P216" s="18">
        <v>0</v>
      </c>
      <c r="Q216" s="18">
        <f>IF(U216=0,"0",O216*U216)</f>
        <v>72.14946250618333</v>
      </c>
      <c r="R216" s="24">
        <f>IF(U216=0,(((D216*G216/H216)-P216-S216-T216)/(1-V216)),(((D216*G216/H216)-P216-S216-T216)/(1-V216))-((D216*G216/H216)-P216-S216-T216)*U216/(1-V216))</f>
        <v>172.6205374938167</v>
      </c>
      <c r="S216" s="20">
        <v>0</v>
      </c>
      <c r="T216" s="20">
        <v>0</v>
      </c>
      <c r="U216" s="20">
        <v>0.294764319590568</v>
      </c>
      <c r="V216" s="20">
        <v>0</v>
      </c>
      <c r="W216" s="25">
        <f>IF(V216&gt;U216,1,V216)</f>
        <v>0</v>
      </c>
      <c r="X216" s="20">
        <v>1</v>
      </c>
      <c r="Y216" s="66">
        <v>0</v>
      </c>
      <c r="Z216" s="72" t="str">
        <f>IF(OR(W216=1,W216=0),"0",(Q216-N216))</f>
        <v>0</v>
      </c>
      <c r="AA216" s="67" t="s">
        <v>594</v>
      </c>
      <c r="AB216" s="18" t="s">
        <v>595</v>
      </c>
      <c r="AC216" s="18">
        <v>172.62</v>
      </c>
      <c r="AD216" s="18">
        <v>1641.22</v>
      </c>
      <c r="AE216" s="18">
        <f>ROUND(AC216*100,0)</f>
        <v>17262</v>
      </c>
      <c r="AF216" s="18">
        <f>ROUND(AD216*100,0)</f>
        <v>164122</v>
      </c>
      <c r="AG216" s="26" t="str">
        <f>IF(AC216=AD216,"TAM",(CONCATENATE(AE216,"/",AF216)))</f>
        <v>17262/164122</v>
      </c>
      <c r="AH216" s="27" t="s">
        <v>50</v>
      </c>
      <c r="AI216" s="27" t="s">
        <v>50</v>
      </c>
      <c r="AJ216" s="76"/>
      <c r="AK216" s="55" t="s">
        <v>50</v>
      </c>
      <c r="AL216" s="2" t="s">
        <v>50</v>
      </c>
    </row>
    <row r="217" spans="1:37" ht="12.75" customHeight="1">
      <c r="A217" s="56"/>
      <c r="B217" s="28"/>
      <c r="C217" s="28"/>
      <c r="D217" s="29"/>
      <c r="E217" s="30" t="s">
        <v>50</v>
      </c>
      <c r="F217" s="30"/>
      <c r="G217" s="30"/>
      <c r="H217" s="30"/>
      <c r="I217" s="29"/>
      <c r="J217" s="29"/>
      <c r="K217" s="31"/>
      <c r="L217" s="31"/>
      <c r="M217" s="31"/>
      <c r="N217" s="31"/>
      <c r="O217" s="31"/>
      <c r="P217" s="30"/>
      <c r="Q217" s="30"/>
      <c r="R217" s="30"/>
      <c r="S217" s="30"/>
      <c r="T217" s="30"/>
      <c r="U217" s="30"/>
      <c r="V217" s="30"/>
      <c r="W217" s="30"/>
      <c r="X217" s="30"/>
      <c r="Y217" s="57"/>
      <c r="Z217" s="73"/>
      <c r="AA217" s="12"/>
      <c r="AB217" s="28"/>
      <c r="AC217" s="28"/>
      <c r="AD217" s="28"/>
      <c r="AE217" s="28"/>
      <c r="AF217" s="28"/>
      <c r="AG217" s="28"/>
      <c r="AH217" s="28"/>
      <c r="AI217" s="28"/>
      <c r="AJ217" s="76"/>
      <c r="AK217" s="57"/>
    </row>
    <row r="218" spans="1:38" ht="12.75" customHeight="1">
      <c r="A218" s="54">
        <v>3</v>
      </c>
      <c r="B218" s="17">
        <v>1137</v>
      </c>
      <c r="C218" s="17" t="s">
        <v>596</v>
      </c>
      <c r="D218" s="18">
        <v>218.39</v>
      </c>
      <c r="E218" s="19" t="s">
        <v>597</v>
      </c>
      <c r="F218" s="19" t="s">
        <v>598</v>
      </c>
      <c r="G218" s="20">
        <v>1</v>
      </c>
      <c r="H218" s="20">
        <v>1</v>
      </c>
      <c r="I218" s="18">
        <f>ROUND(G218,0)</f>
        <v>1</v>
      </c>
      <c r="J218" s="18">
        <f>ROUND(H218,0)</f>
        <v>1</v>
      </c>
      <c r="K218" s="21" t="str">
        <f>IF(I218=J218,"TAM",(CONCATENATE(G218,"/",H218)))</f>
        <v>TAM</v>
      </c>
      <c r="L218" s="22">
        <f>218.39*1/1</f>
        <v>218.39</v>
      </c>
      <c r="M218" s="23">
        <v>0</v>
      </c>
      <c r="N218" s="18" t="str">
        <f>IF(M218=0,"0",(O218*M218))</f>
        <v>0</v>
      </c>
      <c r="O218" s="18">
        <f>IF(W218=1,L218,((D218*G218/H218)-P218)/(1-V218)-S218-T218)</f>
        <v>218.39</v>
      </c>
      <c r="P218" s="18">
        <v>0</v>
      </c>
      <c r="Q218" s="18">
        <f>IF(U218=0,"0",O218*U218)</f>
        <v>64.37357975538414</v>
      </c>
      <c r="R218" s="24">
        <f>IF(U218=0,(((D218*G218/H218)-P218-S218-T218)/(1-V218)),(((D218*G218/H218)-P218-S218-T218)/(1-V218))-((D218*G218/H218)-P218-S218-T218)*U218/(1-V218))</f>
        <v>154.01642024461586</v>
      </c>
      <c r="S218" s="20">
        <v>0</v>
      </c>
      <c r="T218" s="20">
        <v>0</v>
      </c>
      <c r="U218" s="20">
        <v>0.294764319590568</v>
      </c>
      <c r="V218" s="20">
        <v>0</v>
      </c>
      <c r="W218" s="25">
        <f>IF(V218&gt;U218,1,V218)</f>
        <v>0</v>
      </c>
      <c r="X218" s="20">
        <v>1</v>
      </c>
      <c r="Y218" s="66">
        <v>0</v>
      </c>
      <c r="Z218" s="72" t="str">
        <f>IF(OR(W218=1,W218=0),"0",(Q218-N218))</f>
        <v>0</v>
      </c>
      <c r="AA218" s="67" t="s">
        <v>599</v>
      </c>
      <c r="AB218" s="18" t="s">
        <v>600</v>
      </c>
      <c r="AC218" s="18">
        <v>154.02</v>
      </c>
      <c r="AD218" s="18">
        <v>1641.22</v>
      </c>
      <c r="AE218" s="18">
        <f>ROUND(AC218*100,0)</f>
        <v>15402</v>
      </c>
      <c r="AF218" s="18">
        <f>ROUND(AD218*100,0)</f>
        <v>164122</v>
      </c>
      <c r="AG218" s="26" t="str">
        <f>IF(AC218=AD218,"TAM",(CONCATENATE(AE218,"/",AF218)))</f>
        <v>15402/164122</v>
      </c>
      <c r="AH218" s="27" t="s">
        <v>50</v>
      </c>
      <c r="AI218" s="27" t="s">
        <v>50</v>
      </c>
      <c r="AJ218" s="76"/>
      <c r="AK218" s="55" t="s">
        <v>50</v>
      </c>
      <c r="AL218" s="2" t="s">
        <v>50</v>
      </c>
    </row>
    <row r="219" spans="1:37" ht="12.75" customHeight="1">
      <c r="A219" s="56"/>
      <c r="B219" s="28"/>
      <c r="C219" s="28"/>
      <c r="D219" s="29"/>
      <c r="E219" s="30" t="s">
        <v>50</v>
      </c>
      <c r="F219" s="30"/>
      <c r="G219" s="30"/>
      <c r="H219" s="30"/>
      <c r="I219" s="29"/>
      <c r="J219" s="29"/>
      <c r="K219" s="31"/>
      <c r="L219" s="31"/>
      <c r="M219" s="31"/>
      <c r="N219" s="31"/>
      <c r="O219" s="31"/>
      <c r="P219" s="30"/>
      <c r="Q219" s="30"/>
      <c r="R219" s="30"/>
      <c r="S219" s="30"/>
      <c r="T219" s="30"/>
      <c r="U219" s="30"/>
      <c r="V219" s="30"/>
      <c r="W219" s="30"/>
      <c r="X219" s="30"/>
      <c r="Y219" s="57"/>
      <c r="Z219" s="73"/>
      <c r="AA219" s="12"/>
      <c r="AB219" s="28"/>
      <c r="AC219" s="28"/>
      <c r="AD219" s="28"/>
      <c r="AE219" s="28"/>
      <c r="AF219" s="28"/>
      <c r="AG219" s="28"/>
      <c r="AH219" s="28"/>
      <c r="AI219" s="28"/>
      <c r="AJ219" s="76"/>
      <c r="AK219" s="57"/>
    </row>
    <row r="220" spans="1:38" ht="12.75" customHeight="1">
      <c r="A220" s="54">
        <v>4</v>
      </c>
      <c r="B220" s="17">
        <v>1138</v>
      </c>
      <c r="C220" s="17" t="s">
        <v>601</v>
      </c>
      <c r="D220" s="18">
        <v>235.59</v>
      </c>
      <c r="E220" s="19" t="s">
        <v>602</v>
      </c>
      <c r="F220" s="19" t="s">
        <v>603</v>
      </c>
      <c r="G220" s="20">
        <v>1</v>
      </c>
      <c r="H220" s="20">
        <v>1</v>
      </c>
      <c r="I220" s="18">
        <f>ROUND(G220,0)</f>
        <v>1</v>
      </c>
      <c r="J220" s="18">
        <f>ROUND(H220,0)</f>
        <v>1</v>
      </c>
      <c r="K220" s="21" t="str">
        <f>IF(I220=J220,"TAM",(CONCATENATE(G220,"/",H220)))</f>
        <v>TAM</v>
      </c>
      <c r="L220" s="22">
        <f>235.59*1/1</f>
        <v>235.59</v>
      </c>
      <c r="M220" s="23">
        <v>0</v>
      </c>
      <c r="N220" s="18" t="str">
        <f>IF(M220=0,"0",(O220*M220))</f>
        <v>0</v>
      </c>
      <c r="O220" s="18">
        <f>IF(W220=1,L220,((D220*G220/H220)-P220)/(1-V220)-S220-T220)</f>
        <v>235.59</v>
      </c>
      <c r="P220" s="18">
        <v>0</v>
      </c>
      <c r="Q220" s="18">
        <f>IF(U220=0,"0",O220*U220)</f>
        <v>69.44352605234191</v>
      </c>
      <c r="R220" s="24">
        <f>IF(U220=0,(((D220*G220/H220)-P220-S220-T220)/(1-V220)),(((D220*G220/H220)-P220-S220-T220)/(1-V220))-((D220*G220/H220)-P220-S220-T220)*U220/(1-V220))</f>
        <v>166.14647394765808</v>
      </c>
      <c r="S220" s="20">
        <v>0</v>
      </c>
      <c r="T220" s="20">
        <v>0</v>
      </c>
      <c r="U220" s="20">
        <v>0.294764319590568</v>
      </c>
      <c r="V220" s="20">
        <v>0</v>
      </c>
      <c r="W220" s="25">
        <f>IF(V220&gt;U220,1,V220)</f>
        <v>0</v>
      </c>
      <c r="X220" s="20">
        <v>1</v>
      </c>
      <c r="Y220" s="66">
        <v>0</v>
      </c>
      <c r="Z220" s="72" t="str">
        <f>IF(OR(W220=1,W220=0),"0",(Q220-N220))</f>
        <v>0</v>
      </c>
      <c r="AA220" s="67" t="s">
        <v>604</v>
      </c>
      <c r="AB220" s="18" t="s">
        <v>605</v>
      </c>
      <c r="AC220" s="18">
        <v>166.15</v>
      </c>
      <c r="AD220" s="18">
        <v>1641.22</v>
      </c>
      <c r="AE220" s="18">
        <f>ROUND(AC220*100,0)</f>
        <v>16615</v>
      </c>
      <c r="AF220" s="18">
        <f>ROUND(AD220*100,0)</f>
        <v>164122</v>
      </c>
      <c r="AG220" s="26" t="str">
        <f>IF(AC220=AD220,"TAM",(CONCATENATE(AE220,"/",AF220)))</f>
        <v>16615/164122</v>
      </c>
      <c r="AH220" s="27" t="s">
        <v>50</v>
      </c>
      <c r="AI220" s="27" t="s">
        <v>50</v>
      </c>
      <c r="AJ220" s="76"/>
      <c r="AK220" s="55" t="s">
        <v>50</v>
      </c>
      <c r="AL220" s="2" t="s">
        <v>50</v>
      </c>
    </row>
    <row r="221" spans="1:37" ht="12.75" customHeight="1">
      <c r="A221" s="56"/>
      <c r="B221" s="28"/>
      <c r="C221" s="28"/>
      <c r="D221" s="29"/>
      <c r="E221" s="30" t="s">
        <v>50</v>
      </c>
      <c r="F221" s="30"/>
      <c r="G221" s="30"/>
      <c r="H221" s="30"/>
      <c r="I221" s="29"/>
      <c r="J221" s="29"/>
      <c r="K221" s="31"/>
      <c r="L221" s="31"/>
      <c r="M221" s="31"/>
      <c r="N221" s="31"/>
      <c r="O221" s="31"/>
      <c r="P221" s="30"/>
      <c r="Q221" s="30"/>
      <c r="R221" s="30"/>
      <c r="S221" s="30"/>
      <c r="T221" s="30"/>
      <c r="U221" s="30"/>
      <c r="V221" s="30"/>
      <c r="W221" s="30"/>
      <c r="X221" s="30"/>
      <c r="Y221" s="57"/>
      <c r="Z221" s="73"/>
      <c r="AA221" s="12"/>
      <c r="AB221" s="28"/>
      <c r="AC221" s="28"/>
      <c r="AD221" s="28"/>
      <c r="AE221" s="28"/>
      <c r="AF221" s="28"/>
      <c r="AG221" s="28"/>
      <c r="AH221" s="28"/>
      <c r="AI221" s="28"/>
      <c r="AJ221" s="76"/>
      <c r="AK221" s="57"/>
    </row>
    <row r="222" spans="1:38" ht="12.75" customHeight="1">
      <c r="A222" s="54">
        <v>5</v>
      </c>
      <c r="B222" s="17">
        <v>1139</v>
      </c>
      <c r="C222" s="17" t="s">
        <v>606</v>
      </c>
      <c r="D222" s="18">
        <v>847.05</v>
      </c>
      <c r="E222" s="19" t="s">
        <v>607</v>
      </c>
      <c r="F222" s="19" t="s">
        <v>608</v>
      </c>
      <c r="G222" s="20">
        <v>1</v>
      </c>
      <c r="H222" s="20">
        <v>1</v>
      </c>
      <c r="I222" s="18">
        <f>ROUND(G222,0)</f>
        <v>1</v>
      </c>
      <c r="J222" s="18">
        <f>ROUND(H222,0)</f>
        <v>1</v>
      </c>
      <c r="K222" s="21" t="str">
        <f>IF(I222=J222,"TAM",(CONCATENATE(G222,"/",H222)))</f>
        <v>TAM</v>
      </c>
      <c r="L222" s="22">
        <f>847.05*1/1</f>
        <v>847.05</v>
      </c>
      <c r="M222" s="23">
        <v>0</v>
      </c>
      <c r="N222" s="18" t="str">
        <f>IF(M222=0,"0",(O222*M222))</f>
        <v>0</v>
      </c>
      <c r="O222" s="18">
        <f>IF(W222=1,L222,((D222*G222/H222)-P222)/(1-V222)-S222-T222)</f>
        <v>847.05</v>
      </c>
      <c r="P222" s="18">
        <v>0</v>
      </c>
      <c r="Q222" s="18">
        <f>IF(U222=0,"0",O222*U222)</f>
        <v>249.6801169091906</v>
      </c>
      <c r="R222" s="24">
        <f>IF(U222=0,(((D222*G222/H222)-P222-S222-T222)/(1-V222)),(((D222*G222/H222)-P222-S222-T222)/(1-V222))-((D222*G222/H222)-P222-S222-T222)*U222/(1-V222))</f>
        <v>597.3698830908094</v>
      </c>
      <c r="S222" s="20">
        <v>0</v>
      </c>
      <c r="T222" s="20">
        <v>0</v>
      </c>
      <c r="U222" s="20">
        <v>0.294764319590568</v>
      </c>
      <c r="V222" s="20">
        <v>0</v>
      </c>
      <c r="W222" s="25">
        <f>IF(V222&gt;U222,1,V222)</f>
        <v>0</v>
      </c>
      <c r="X222" s="20">
        <v>1</v>
      </c>
      <c r="Y222" s="66">
        <v>0</v>
      </c>
      <c r="Z222" s="72" t="str">
        <f>IF(OR(W222=1,W222=0),"0",(Q222-N222))</f>
        <v>0</v>
      </c>
      <c r="AA222" s="67" t="s">
        <v>609</v>
      </c>
      <c r="AB222" s="18" t="s">
        <v>610</v>
      </c>
      <c r="AC222" s="18">
        <v>597.37</v>
      </c>
      <c r="AD222" s="18">
        <v>1641.22</v>
      </c>
      <c r="AE222" s="18">
        <f>ROUND(AC222*100,0)</f>
        <v>59737</v>
      </c>
      <c r="AF222" s="18">
        <f>ROUND(AD222*100,0)</f>
        <v>164122</v>
      </c>
      <c r="AG222" s="26" t="str">
        <f>IF(AC222=AD222,"TAM",(CONCATENATE(AE222,"/",AF222)))</f>
        <v>59737/164122</v>
      </c>
      <c r="AH222" s="27" t="s">
        <v>50</v>
      </c>
      <c r="AI222" s="27" t="s">
        <v>50</v>
      </c>
      <c r="AJ222" s="76"/>
      <c r="AK222" s="55" t="s">
        <v>50</v>
      </c>
      <c r="AL222" s="2" t="s">
        <v>50</v>
      </c>
    </row>
    <row r="223" spans="1:37" ht="12.75" customHeight="1">
      <c r="A223" s="56"/>
      <c r="B223" s="28"/>
      <c r="C223" s="28"/>
      <c r="D223" s="29"/>
      <c r="E223" s="30" t="s">
        <v>50</v>
      </c>
      <c r="F223" s="30"/>
      <c r="G223" s="30"/>
      <c r="H223" s="30"/>
      <c r="I223" s="29"/>
      <c r="J223" s="29"/>
      <c r="K223" s="31"/>
      <c r="L223" s="31"/>
      <c r="M223" s="31"/>
      <c r="N223" s="31"/>
      <c r="O223" s="31"/>
      <c r="P223" s="30"/>
      <c r="Q223" s="30"/>
      <c r="R223" s="30"/>
      <c r="S223" s="30"/>
      <c r="T223" s="30"/>
      <c r="U223" s="30"/>
      <c r="V223" s="30"/>
      <c r="W223" s="30"/>
      <c r="X223" s="30"/>
      <c r="Y223" s="57"/>
      <c r="Z223" s="73"/>
      <c r="AA223" s="12"/>
      <c r="AB223" s="28"/>
      <c r="AC223" s="28"/>
      <c r="AD223" s="28"/>
      <c r="AE223" s="28"/>
      <c r="AF223" s="28"/>
      <c r="AG223" s="28"/>
      <c r="AH223" s="28"/>
      <c r="AI223" s="28"/>
      <c r="AJ223" s="76"/>
      <c r="AK223" s="57"/>
    </row>
    <row r="224" spans="1:38" ht="12.75" customHeight="1">
      <c r="A224" s="54">
        <v>30</v>
      </c>
      <c r="B224" s="17">
        <v>1149</v>
      </c>
      <c r="C224" s="17" t="s">
        <v>611</v>
      </c>
      <c r="D224" s="18">
        <v>8845.1</v>
      </c>
      <c r="E224" s="19" t="s">
        <v>612</v>
      </c>
      <c r="F224" s="19" t="s">
        <v>613</v>
      </c>
      <c r="G224" s="20">
        <v>1</v>
      </c>
      <c r="H224" s="20">
        <v>1</v>
      </c>
      <c r="I224" s="18">
        <f>ROUND(G224,0)</f>
        <v>1</v>
      </c>
      <c r="J224" s="18">
        <f>ROUND(H224,0)</f>
        <v>1</v>
      </c>
      <c r="K224" s="21" t="str">
        <f>IF(I224=J224,"TAM",(CONCATENATE(G224,"/",H224)))</f>
        <v>TAM</v>
      </c>
      <c r="L224" s="22">
        <f>8845.1*1/1</f>
        <v>8845.1</v>
      </c>
      <c r="M224" s="23">
        <v>0</v>
      </c>
      <c r="N224" s="18" t="str">
        <f>IF(M224=0,"0",(O224*M224))</f>
        <v>0</v>
      </c>
      <c r="O224" s="18">
        <f>IF(W224=1,L224,((D224*G224/H224)-P224)/(1-V224)-S224-T224)</f>
        <v>8845.1</v>
      </c>
      <c r="P224" s="18">
        <v>0</v>
      </c>
      <c r="Q224" s="18">
        <f>IF(U224=0,"0",O224*U224)</f>
        <v>2607.2198832105328</v>
      </c>
      <c r="R224" s="24">
        <f>IF(U224=0,(((D224*G224/H224)-P224-S224-T224)/(1-V224)),(((D224*G224/H224)-P224-S224-T224)/(1-V224))-((D224*G224/H224)-P224-S224-T224)*U224/(1-V224))</f>
        <v>6237.880116789467</v>
      </c>
      <c r="S224" s="20">
        <v>0</v>
      </c>
      <c r="T224" s="20">
        <v>0</v>
      </c>
      <c r="U224" s="20">
        <v>0.294764319590568</v>
      </c>
      <c r="V224" s="20">
        <v>0</v>
      </c>
      <c r="W224" s="25">
        <f>IF(V224&gt;U224,1,V224)</f>
        <v>0</v>
      </c>
      <c r="X224" s="20">
        <v>1</v>
      </c>
      <c r="Y224" s="66">
        <v>0</v>
      </c>
      <c r="Z224" s="72" t="str">
        <f>IF(OR(W224=1,W224=0),"0",(Q224-N224))</f>
        <v>0</v>
      </c>
      <c r="AA224" s="67" t="s">
        <v>614</v>
      </c>
      <c r="AB224" s="18" t="s">
        <v>615</v>
      </c>
      <c r="AC224" s="18">
        <v>335.23</v>
      </c>
      <c r="AD224" s="18">
        <v>1641.22</v>
      </c>
      <c r="AE224" s="18">
        <f>ROUND(AC224*100,0)</f>
        <v>33523</v>
      </c>
      <c r="AF224" s="18">
        <f>ROUND(AD224*100,0)</f>
        <v>164122</v>
      </c>
      <c r="AG224" s="26" t="str">
        <f>IF(AC224=AD224,"TAM",(CONCATENATE(AE224,"/",AF224)))</f>
        <v>33523/164122</v>
      </c>
      <c r="AH224" s="27" t="s">
        <v>50</v>
      </c>
      <c r="AI224" s="27" t="s">
        <v>50</v>
      </c>
      <c r="AJ224" s="76"/>
      <c r="AK224" s="55" t="s">
        <v>50</v>
      </c>
      <c r="AL224" s="2" t="s">
        <v>50</v>
      </c>
    </row>
    <row r="225" spans="1:37" ht="12.75" customHeight="1">
      <c r="A225" s="56"/>
      <c r="B225" s="28"/>
      <c r="C225" s="28"/>
      <c r="D225" s="29"/>
      <c r="E225" s="30" t="s">
        <v>50</v>
      </c>
      <c r="F225" s="30"/>
      <c r="G225" s="30"/>
      <c r="H225" s="30"/>
      <c r="I225" s="29"/>
      <c r="J225" s="29"/>
      <c r="K225" s="31"/>
      <c r="L225" s="31"/>
      <c r="M225" s="31"/>
      <c r="N225" s="31"/>
      <c r="O225" s="31"/>
      <c r="P225" s="30"/>
      <c r="Q225" s="30"/>
      <c r="R225" s="30"/>
      <c r="S225" s="30"/>
      <c r="T225" s="30"/>
      <c r="U225" s="30"/>
      <c r="V225" s="30"/>
      <c r="W225" s="30"/>
      <c r="X225" s="30"/>
      <c r="Y225" s="57"/>
      <c r="Z225" s="73"/>
      <c r="AA225" s="12"/>
      <c r="AB225" s="28"/>
      <c r="AC225" s="28"/>
      <c r="AD225" s="28"/>
      <c r="AE225" s="28"/>
      <c r="AF225" s="28"/>
      <c r="AG225" s="28"/>
      <c r="AH225" s="28"/>
      <c r="AI225" s="28"/>
      <c r="AJ225" s="82"/>
      <c r="AK225" s="57"/>
    </row>
    <row r="226" spans="1:38" ht="12.75" customHeight="1">
      <c r="A226" s="54">
        <v>165</v>
      </c>
      <c r="B226" s="17">
        <v>1102</v>
      </c>
      <c r="C226" s="17" t="s">
        <v>616</v>
      </c>
      <c r="D226" s="18">
        <v>120.27</v>
      </c>
      <c r="E226" s="19" t="s">
        <v>617</v>
      </c>
      <c r="F226" s="19" t="s">
        <v>618</v>
      </c>
      <c r="G226" s="20">
        <v>1</v>
      </c>
      <c r="H226" s="20">
        <v>1</v>
      </c>
      <c r="I226" s="18">
        <f>ROUND(G226,0)</f>
        <v>1</v>
      </c>
      <c r="J226" s="18">
        <f>ROUND(H226,0)</f>
        <v>1</v>
      </c>
      <c r="K226" s="21" t="str">
        <f>IF(I226=J226,"TAM",(CONCATENATE(G226,"/",H226)))</f>
        <v>TAM</v>
      </c>
      <c r="L226" s="22">
        <f>120.27*1/1</f>
        <v>120.27</v>
      </c>
      <c r="M226" s="23">
        <v>0</v>
      </c>
      <c r="N226" s="18" t="str">
        <f>IF(M226=0,"0",(O226*M226))</f>
        <v>0</v>
      </c>
      <c r="O226" s="18">
        <f>IF(W226=1,L226,((D226*G226/H226)-P226)/(1-V226)-S226-T226)</f>
        <v>120.27</v>
      </c>
      <c r="P226" s="18">
        <v>0</v>
      </c>
      <c r="Q226" s="18">
        <f>IF(U226=0,"0",O226*U226)</f>
        <v>35.45130471715761</v>
      </c>
      <c r="R226" s="24">
        <f>IF(U226=0,(((D226*G226/H226)-P226-S226-T226)/(1-V226)),(((D226*G226/H226)-P226-S226-T226)/(1-V226))-((D226*G226/H226)-P226-S226-T226)*U226/(1-V226))</f>
        <v>84.81869528284238</v>
      </c>
      <c r="S226" s="20">
        <v>0</v>
      </c>
      <c r="T226" s="20">
        <v>0</v>
      </c>
      <c r="U226" s="20">
        <v>0.294764319590568</v>
      </c>
      <c r="V226" s="20">
        <v>0</v>
      </c>
      <c r="W226" s="25">
        <f>IF(V226&gt;U226,1,V226)</f>
        <v>0</v>
      </c>
      <c r="X226" s="20">
        <v>1</v>
      </c>
      <c r="Y226" s="66">
        <v>0</v>
      </c>
      <c r="Z226" s="72" t="str">
        <f>IF(OR(W226=1,W226=0),"0",(Q226-N226))</f>
        <v>0</v>
      </c>
      <c r="AA226" s="67" t="s">
        <v>619</v>
      </c>
      <c r="AB226" s="18" t="s">
        <v>621</v>
      </c>
      <c r="AC226" s="18">
        <v>84.82</v>
      </c>
      <c r="AD226" s="18">
        <v>1286.29</v>
      </c>
      <c r="AE226" s="18">
        <f>ROUND(AC226*100,0)</f>
        <v>8482</v>
      </c>
      <c r="AF226" s="18">
        <f>ROUND(AD226*100,0)</f>
        <v>128629</v>
      </c>
      <c r="AG226" s="26" t="str">
        <f>IF(AC226=AD226,"TAM",(CONCATENATE(AE226,"/",AF226)))</f>
        <v>8482/128629</v>
      </c>
      <c r="AH226" s="27" t="s">
        <v>50</v>
      </c>
      <c r="AI226" s="27" t="s">
        <v>50</v>
      </c>
      <c r="AJ226" s="79" t="s">
        <v>620</v>
      </c>
      <c r="AK226" s="55" t="s">
        <v>50</v>
      </c>
      <c r="AL226" s="2" t="s">
        <v>50</v>
      </c>
    </row>
    <row r="227" spans="1:37" ht="12.75" customHeight="1">
      <c r="A227" s="56"/>
      <c r="B227" s="28"/>
      <c r="C227" s="28"/>
      <c r="D227" s="29"/>
      <c r="E227" s="30" t="s">
        <v>50</v>
      </c>
      <c r="F227" s="30"/>
      <c r="G227" s="30"/>
      <c r="H227" s="30"/>
      <c r="I227" s="29"/>
      <c r="J227" s="29"/>
      <c r="K227" s="31"/>
      <c r="L227" s="31"/>
      <c r="M227" s="31"/>
      <c r="N227" s="31"/>
      <c r="O227" s="31"/>
      <c r="P227" s="30"/>
      <c r="Q227" s="30"/>
      <c r="R227" s="30"/>
      <c r="S227" s="30"/>
      <c r="T227" s="30"/>
      <c r="U227" s="30"/>
      <c r="V227" s="30"/>
      <c r="W227" s="30"/>
      <c r="X227" s="30"/>
      <c r="Y227" s="57"/>
      <c r="Z227" s="73"/>
      <c r="AA227" s="12"/>
      <c r="AB227" s="28"/>
      <c r="AC227" s="28"/>
      <c r="AD227" s="28"/>
      <c r="AE227" s="28"/>
      <c r="AF227" s="28"/>
      <c r="AG227" s="28"/>
      <c r="AH227" s="28"/>
      <c r="AI227" s="28"/>
      <c r="AJ227" s="80"/>
      <c r="AK227" s="57"/>
    </row>
    <row r="228" spans="1:38" ht="12.75" customHeight="1">
      <c r="A228" s="54">
        <v>1</v>
      </c>
      <c r="B228" s="17">
        <v>1135</v>
      </c>
      <c r="C228" s="17" t="s">
        <v>622</v>
      </c>
      <c r="D228" s="18">
        <v>336.75</v>
      </c>
      <c r="E228" s="19" t="s">
        <v>623</v>
      </c>
      <c r="F228" s="19" t="s">
        <v>624</v>
      </c>
      <c r="G228" s="20">
        <v>1</v>
      </c>
      <c r="H228" s="20">
        <v>1</v>
      </c>
      <c r="I228" s="18">
        <f>ROUND(G228,0)</f>
        <v>1</v>
      </c>
      <c r="J228" s="18">
        <f>ROUND(H228,0)</f>
        <v>1</v>
      </c>
      <c r="K228" s="21" t="str">
        <f>IF(I228=J228,"TAM",(CONCATENATE(G228,"/",H228)))</f>
        <v>TAM</v>
      </c>
      <c r="L228" s="22">
        <f>336.75*1/1</f>
        <v>336.75</v>
      </c>
      <c r="M228" s="23">
        <v>0</v>
      </c>
      <c r="N228" s="18" t="str">
        <f>IF(M228=0,"0",(O228*M228))</f>
        <v>0</v>
      </c>
      <c r="O228" s="18">
        <f>IF(W228=1,L228,((D228*G228/H228)-P228)/(1-V228)-S228-T228)</f>
        <v>336.75</v>
      </c>
      <c r="P228" s="18">
        <v>0</v>
      </c>
      <c r="Q228" s="18">
        <f>IF(U228=0,"0",O228*U228)</f>
        <v>99.26188462212377</v>
      </c>
      <c r="R228" s="24">
        <f>IF(U228=0,(((D228*G228/H228)-P228-S228-T228)/(1-V228)),(((D228*G228/H228)-P228-S228-T228)/(1-V228))-((D228*G228/H228)-P228-S228-T228)*U228/(1-V228))</f>
        <v>237.48811537787623</v>
      </c>
      <c r="S228" s="20">
        <v>0</v>
      </c>
      <c r="T228" s="20">
        <v>0</v>
      </c>
      <c r="U228" s="20">
        <v>0.294764319590568</v>
      </c>
      <c r="V228" s="20">
        <v>0</v>
      </c>
      <c r="W228" s="25">
        <f>IF(V228&gt;U228,1,V228)</f>
        <v>0</v>
      </c>
      <c r="X228" s="20">
        <v>1</v>
      </c>
      <c r="Y228" s="66">
        <v>0</v>
      </c>
      <c r="Z228" s="72" t="str">
        <f>IF(OR(W228=1,W228=0),"0",(Q228-N228))</f>
        <v>0</v>
      </c>
      <c r="AA228" s="67" t="s">
        <v>625</v>
      </c>
      <c r="AB228" s="18" t="s">
        <v>626</v>
      </c>
      <c r="AC228" s="18">
        <v>237.49</v>
      </c>
      <c r="AD228" s="18">
        <v>1286.29</v>
      </c>
      <c r="AE228" s="18">
        <f>ROUND(AC228*100,0)</f>
        <v>23749</v>
      </c>
      <c r="AF228" s="18">
        <f>ROUND(AD228*100,0)</f>
        <v>128629</v>
      </c>
      <c r="AG228" s="26" t="str">
        <f>IF(AC228=AD228,"TAM",(CONCATENATE(AE228,"/",AF228)))</f>
        <v>23749/128629</v>
      </c>
      <c r="AH228" s="27" t="s">
        <v>50</v>
      </c>
      <c r="AI228" s="27" t="s">
        <v>50</v>
      </c>
      <c r="AJ228" s="80"/>
      <c r="AK228" s="55" t="s">
        <v>50</v>
      </c>
      <c r="AL228" s="2" t="s">
        <v>50</v>
      </c>
    </row>
    <row r="229" spans="1:37" ht="12.75" customHeight="1">
      <c r="A229" s="56"/>
      <c r="B229" s="28"/>
      <c r="C229" s="28"/>
      <c r="D229" s="29"/>
      <c r="E229" s="30" t="s">
        <v>50</v>
      </c>
      <c r="F229" s="30"/>
      <c r="G229" s="30"/>
      <c r="H229" s="30"/>
      <c r="I229" s="29"/>
      <c r="J229" s="29"/>
      <c r="K229" s="31"/>
      <c r="L229" s="31"/>
      <c r="M229" s="31"/>
      <c r="N229" s="31"/>
      <c r="O229" s="31"/>
      <c r="P229" s="30"/>
      <c r="Q229" s="30"/>
      <c r="R229" s="30"/>
      <c r="S229" s="30"/>
      <c r="T229" s="30"/>
      <c r="U229" s="30"/>
      <c r="V229" s="30"/>
      <c r="W229" s="30"/>
      <c r="X229" s="30"/>
      <c r="Y229" s="57"/>
      <c r="Z229" s="73"/>
      <c r="AA229" s="12"/>
      <c r="AB229" s="28"/>
      <c r="AC229" s="28"/>
      <c r="AD229" s="28"/>
      <c r="AE229" s="28"/>
      <c r="AF229" s="28"/>
      <c r="AG229" s="28"/>
      <c r="AH229" s="28"/>
      <c r="AI229" s="28"/>
      <c r="AJ229" s="80"/>
      <c r="AK229" s="57"/>
    </row>
    <row r="230" spans="1:38" ht="12.75" customHeight="1">
      <c r="A230" s="54">
        <v>6</v>
      </c>
      <c r="B230" s="17">
        <v>1140</v>
      </c>
      <c r="C230" s="17" t="s">
        <v>627</v>
      </c>
      <c r="D230" s="18">
        <v>1366.89</v>
      </c>
      <c r="E230" s="19" t="s">
        <v>628</v>
      </c>
      <c r="F230" s="19" t="s">
        <v>629</v>
      </c>
      <c r="G230" s="20">
        <v>1</v>
      </c>
      <c r="H230" s="20">
        <v>1</v>
      </c>
      <c r="I230" s="18">
        <f>ROUND(G230,0)</f>
        <v>1</v>
      </c>
      <c r="J230" s="18">
        <f>ROUND(H230,0)</f>
        <v>1</v>
      </c>
      <c r="K230" s="21" t="str">
        <f>IF(I230=J230,"TAM",(CONCATENATE(G230,"/",H230)))</f>
        <v>TAM</v>
      </c>
      <c r="L230" s="22">
        <f>1366.89*1/1</f>
        <v>1366.89</v>
      </c>
      <c r="M230" s="23">
        <v>0</v>
      </c>
      <c r="N230" s="18" t="str">
        <f>IF(M230=0,"0",(O230*M230))</f>
        <v>0</v>
      </c>
      <c r="O230" s="18">
        <f>IF(W230=1,L230,((D230*G230/H230)-P230)/(1-V230)-S230-T230)</f>
        <v>1366.89</v>
      </c>
      <c r="P230" s="18">
        <v>0</v>
      </c>
      <c r="Q230" s="18">
        <f>IF(U230=0,"0",O230*U230)</f>
        <v>402.9104008051515</v>
      </c>
      <c r="R230" s="24">
        <f>IF(U230=0,(((D230*G230/H230)-P230-S230-T230)/(1-V230)),(((D230*G230/H230)-P230-S230-T230)/(1-V230))-((D230*G230/H230)-P230-S230-T230)*U230/(1-V230))</f>
        <v>963.9795991948486</v>
      </c>
      <c r="S230" s="20">
        <v>0</v>
      </c>
      <c r="T230" s="20">
        <v>0</v>
      </c>
      <c r="U230" s="20">
        <v>0.294764319590568</v>
      </c>
      <c r="V230" s="20">
        <v>0</v>
      </c>
      <c r="W230" s="25">
        <f>IF(V230&gt;U230,1,V230)</f>
        <v>0</v>
      </c>
      <c r="X230" s="20">
        <v>1</v>
      </c>
      <c r="Y230" s="66">
        <v>0</v>
      </c>
      <c r="Z230" s="72" t="str">
        <f>IF(OR(W230=1,W230=0),"0",(Q230-N230))</f>
        <v>0</v>
      </c>
      <c r="AA230" s="67" t="s">
        <v>630</v>
      </c>
      <c r="AB230" s="18" t="s">
        <v>631</v>
      </c>
      <c r="AC230" s="18">
        <v>963.98</v>
      </c>
      <c r="AD230" s="18">
        <v>1286.29</v>
      </c>
      <c r="AE230" s="18">
        <f>ROUND(AC230*100,0)</f>
        <v>96398</v>
      </c>
      <c r="AF230" s="18">
        <f>ROUND(AD230*100,0)</f>
        <v>128629</v>
      </c>
      <c r="AG230" s="26" t="str">
        <f>IF(AC230=AD230,"TAM",(CONCATENATE(AE230,"/",AF230)))</f>
        <v>96398/128629</v>
      </c>
      <c r="AH230" s="27" t="s">
        <v>50</v>
      </c>
      <c r="AI230" s="27" t="s">
        <v>50</v>
      </c>
      <c r="AJ230" s="80"/>
      <c r="AK230" s="55" t="s">
        <v>50</v>
      </c>
      <c r="AL230" s="2" t="s">
        <v>50</v>
      </c>
    </row>
    <row r="231" spans="1:37" ht="12.75" customHeight="1">
      <c r="A231" s="56"/>
      <c r="B231" s="28"/>
      <c r="C231" s="28"/>
      <c r="D231" s="29"/>
      <c r="E231" s="30" t="s">
        <v>50</v>
      </c>
      <c r="F231" s="30"/>
      <c r="G231" s="30"/>
      <c r="H231" s="30"/>
      <c r="I231" s="29"/>
      <c r="J231" s="29"/>
      <c r="K231" s="31"/>
      <c r="L231" s="31"/>
      <c r="M231" s="31"/>
      <c r="N231" s="31"/>
      <c r="O231" s="31"/>
      <c r="P231" s="30"/>
      <c r="Q231" s="30"/>
      <c r="R231" s="30"/>
      <c r="S231" s="30"/>
      <c r="T231" s="30"/>
      <c r="U231" s="30"/>
      <c r="V231" s="30"/>
      <c r="W231" s="30"/>
      <c r="X231" s="30"/>
      <c r="Y231" s="57"/>
      <c r="Z231" s="73"/>
      <c r="AA231" s="12"/>
      <c r="AB231" s="28"/>
      <c r="AC231" s="28"/>
      <c r="AD231" s="28"/>
      <c r="AE231" s="28"/>
      <c r="AF231" s="28"/>
      <c r="AG231" s="28"/>
      <c r="AH231" s="28"/>
      <c r="AI231" s="28"/>
      <c r="AJ231" s="81"/>
      <c r="AK231" s="57"/>
    </row>
    <row r="232" spans="1:38" ht="12.75" customHeight="1">
      <c r="A232" s="54">
        <v>172</v>
      </c>
      <c r="B232" s="17">
        <v>1108</v>
      </c>
      <c r="C232" s="17" t="s">
        <v>632</v>
      </c>
      <c r="D232" s="18">
        <v>2844.13</v>
      </c>
      <c r="E232" s="19" t="s">
        <v>633</v>
      </c>
      <c r="F232" s="19" t="s">
        <v>634</v>
      </c>
      <c r="G232" s="20">
        <v>1</v>
      </c>
      <c r="H232" s="20">
        <v>5</v>
      </c>
      <c r="I232" s="18">
        <f>ROUND(G232,0)</f>
        <v>1</v>
      </c>
      <c r="J232" s="18">
        <f>ROUND(H232,0)</f>
        <v>5</v>
      </c>
      <c r="K232" s="21" t="str">
        <f>IF(I232=J232,"TAM",(CONCATENATE(G232,"/",H232)))</f>
        <v>1/5</v>
      </c>
      <c r="L232" s="22">
        <f>2844.13*1/5</f>
        <v>568.826</v>
      </c>
      <c r="M232" s="23">
        <v>0</v>
      </c>
      <c r="N232" s="18" t="str">
        <f>IF(M232=0,"0",(O232*M232))</f>
        <v>0</v>
      </c>
      <c r="O232" s="18">
        <f>IF(W232=1,L232,((D232*G232/H232)-P232)/(1-V232)-S232-T232)</f>
        <v>568.826</v>
      </c>
      <c r="P232" s="18">
        <v>0</v>
      </c>
      <c r="Q232" s="18">
        <f>IF(U232=0,"0",O232*U232)</f>
        <v>167.66960885542443</v>
      </c>
      <c r="R232" s="24">
        <f>IF(U232=0,(((D232*G232/H232)-P232-S232-T232)/(1-V232)),(((D232*G232/H232)-P232-S232-T232)/(1-V232))-((D232*G232/H232)-P232-S232-T232)*U232/(1-V232))</f>
        <v>401.1563911445756</v>
      </c>
      <c r="S232" s="20">
        <v>0</v>
      </c>
      <c r="T232" s="20">
        <v>0</v>
      </c>
      <c r="U232" s="20">
        <v>0.294764319590568</v>
      </c>
      <c r="V232" s="20">
        <v>0</v>
      </c>
      <c r="W232" s="25">
        <f>IF(V232&gt;U232,1,V232)</f>
        <v>0</v>
      </c>
      <c r="X232" s="20">
        <v>1</v>
      </c>
      <c r="Y232" s="66">
        <v>0</v>
      </c>
      <c r="Z232" s="72" t="str">
        <f>IF(OR(W232=1,W232=0),"0",(Q232-N232))</f>
        <v>0</v>
      </c>
      <c r="AA232" s="67" t="s">
        <v>635</v>
      </c>
      <c r="AB232" s="18" t="s">
        <v>637</v>
      </c>
      <c r="AC232" s="18">
        <v>401.16</v>
      </c>
      <c r="AD232" s="18">
        <v>2005.78</v>
      </c>
      <c r="AE232" s="18">
        <f>ROUND(AC232*100,0)</f>
        <v>40116</v>
      </c>
      <c r="AF232" s="18">
        <f>ROUND(AD232*100,0)</f>
        <v>200578</v>
      </c>
      <c r="AG232" s="26" t="str">
        <f>IF(AC232=AD232,"TAM",(CONCATENATE(AE232,"/",AF232)))</f>
        <v>40116/200578</v>
      </c>
      <c r="AH232" s="27" t="s">
        <v>50</v>
      </c>
      <c r="AI232" s="27" t="s">
        <v>50</v>
      </c>
      <c r="AJ232" s="79" t="s">
        <v>636</v>
      </c>
      <c r="AK232" s="55" t="s">
        <v>50</v>
      </c>
      <c r="AL232" s="2" t="s">
        <v>50</v>
      </c>
    </row>
    <row r="233" spans="1:37" ht="12.75" customHeight="1">
      <c r="A233" s="56"/>
      <c r="B233" s="28"/>
      <c r="C233" s="28"/>
      <c r="D233" s="29"/>
      <c r="E233" s="30" t="s">
        <v>50</v>
      </c>
      <c r="F233" s="30"/>
      <c r="G233" s="30"/>
      <c r="H233" s="30"/>
      <c r="I233" s="29"/>
      <c r="J233" s="29"/>
      <c r="K233" s="31"/>
      <c r="L233" s="31"/>
      <c r="M233" s="31"/>
      <c r="N233" s="31"/>
      <c r="O233" s="31"/>
      <c r="P233" s="30"/>
      <c r="Q233" s="30"/>
      <c r="R233" s="30"/>
      <c r="S233" s="30"/>
      <c r="T233" s="30"/>
      <c r="U233" s="30"/>
      <c r="V233" s="30"/>
      <c r="W233" s="30"/>
      <c r="X233" s="30"/>
      <c r="Y233" s="57"/>
      <c r="Z233" s="73"/>
      <c r="AA233" s="12"/>
      <c r="AB233" s="28"/>
      <c r="AC233" s="28"/>
      <c r="AD233" s="28"/>
      <c r="AE233" s="28"/>
      <c r="AF233" s="28"/>
      <c r="AG233" s="28"/>
      <c r="AH233" s="28"/>
      <c r="AI233" s="28"/>
      <c r="AJ233" s="80"/>
      <c r="AK233" s="57"/>
    </row>
    <row r="234" spans="1:38" ht="12.75" customHeight="1">
      <c r="A234" s="54">
        <v>173</v>
      </c>
      <c r="B234" s="17">
        <v>1108</v>
      </c>
      <c r="C234" s="17" t="s">
        <v>638</v>
      </c>
      <c r="D234" s="18">
        <v>2844.13</v>
      </c>
      <c r="E234" s="19" t="s">
        <v>639</v>
      </c>
      <c r="F234" s="19" t="s">
        <v>640</v>
      </c>
      <c r="G234" s="20">
        <v>1</v>
      </c>
      <c r="H234" s="20">
        <v>5</v>
      </c>
      <c r="I234" s="18">
        <f>ROUND(G234,0)</f>
        <v>1</v>
      </c>
      <c r="J234" s="18">
        <f>ROUND(H234,0)</f>
        <v>5</v>
      </c>
      <c r="K234" s="21" t="str">
        <f>IF(I234=J234,"TAM",(CONCATENATE(G234,"/",H234)))</f>
        <v>1/5</v>
      </c>
      <c r="L234" s="22">
        <f>2844.13*1/5</f>
        <v>568.826</v>
      </c>
      <c r="M234" s="23">
        <v>0</v>
      </c>
      <c r="N234" s="18" t="str">
        <f>IF(M234=0,"0",(O234*M234))</f>
        <v>0</v>
      </c>
      <c r="O234" s="18">
        <f>IF(W234=1,L234,((D234*G234/H234)-P234)/(1-V234)-S234-T234)</f>
        <v>568.826</v>
      </c>
      <c r="P234" s="18">
        <v>0</v>
      </c>
      <c r="Q234" s="18">
        <f>IF(U234=0,"0",O234*U234)</f>
        <v>167.66960885542443</v>
      </c>
      <c r="R234" s="24">
        <f>IF(U234=0,(((D234*G234/H234)-P234-S234-T234)/(1-V234)),(((D234*G234/H234)-P234-S234-T234)/(1-V234))-((D234*G234/H234)-P234-S234-T234)*U234/(1-V234))</f>
        <v>401.1563911445756</v>
      </c>
      <c r="S234" s="20">
        <v>0</v>
      </c>
      <c r="T234" s="20">
        <v>0</v>
      </c>
      <c r="U234" s="20">
        <v>0.294764319590568</v>
      </c>
      <c r="V234" s="20">
        <v>0</v>
      </c>
      <c r="W234" s="25">
        <f>IF(V234&gt;U234,1,V234)</f>
        <v>0</v>
      </c>
      <c r="X234" s="20">
        <v>1</v>
      </c>
      <c r="Y234" s="66">
        <v>0</v>
      </c>
      <c r="Z234" s="72" t="str">
        <f>IF(OR(W234=1,W234=0),"0",(Q234-N234))</f>
        <v>0</v>
      </c>
      <c r="AA234" s="67" t="s">
        <v>641</v>
      </c>
      <c r="AB234" s="18" t="s">
        <v>642</v>
      </c>
      <c r="AC234" s="18">
        <v>401.16</v>
      </c>
      <c r="AD234" s="18">
        <v>2005.78</v>
      </c>
      <c r="AE234" s="18">
        <f>ROUND(AC234*100,0)</f>
        <v>40116</v>
      </c>
      <c r="AF234" s="18">
        <f>ROUND(AD234*100,0)</f>
        <v>200578</v>
      </c>
      <c r="AG234" s="26" t="str">
        <f>IF(AC234=AD234,"TAM",(CONCATENATE(AE234,"/",AF234)))</f>
        <v>40116/200578</v>
      </c>
      <c r="AH234" s="27" t="s">
        <v>50</v>
      </c>
      <c r="AI234" s="27" t="s">
        <v>50</v>
      </c>
      <c r="AJ234" s="80"/>
      <c r="AK234" s="55" t="s">
        <v>50</v>
      </c>
      <c r="AL234" s="2" t="s">
        <v>50</v>
      </c>
    </row>
    <row r="235" spans="1:37" ht="12.75" customHeight="1">
      <c r="A235" s="56"/>
      <c r="B235" s="28"/>
      <c r="C235" s="28"/>
      <c r="D235" s="29"/>
      <c r="E235" s="30" t="s">
        <v>50</v>
      </c>
      <c r="F235" s="30"/>
      <c r="G235" s="30"/>
      <c r="H235" s="30"/>
      <c r="I235" s="29"/>
      <c r="J235" s="29"/>
      <c r="K235" s="31"/>
      <c r="L235" s="31"/>
      <c r="M235" s="31"/>
      <c r="N235" s="31"/>
      <c r="O235" s="31"/>
      <c r="P235" s="30"/>
      <c r="Q235" s="30"/>
      <c r="R235" s="30"/>
      <c r="S235" s="30"/>
      <c r="T235" s="30"/>
      <c r="U235" s="30"/>
      <c r="V235" s="30"/>
      <c r="W235" s="30"/>
      <c r="X235" s="30"/>
      <c r="Y235" s="57"/>
      <c r="Z235" s="73"/>
      <c r="AA235" s="12"/>
      <c r="AB235" s="28"/>
      <c r="AC235" s="28"/>
      <c r="AD235" s="28"/>
      <c r="AE235" s="28"/>
      <c r="AF235" s="28"/>
      <c r="AG235" s="28"/>
      <c r="AH235" s="28"/>
      <c r="AI235" s="28"/>
      <c r="AJ235" s="80"/>
      <c r="AK235" s="57"/>
    </row>
    <row r="236" spans="1:38" ht="12.75" customHeight="1">
      <c r="A236" s="54">
        <v>174</v>
      </c>
      <c r="B236" s="17">
        <v>1108</v>
      </c>
      <c r="C236" s="17" t="s">
        <v>643</v>
      </c>
      <c r="D236" s="18">
        <v>2844.13</v>
      </c>
      <c r="E236" s="19" t="s">
        <v>644</v>
      </c>
      <c r="F236" s="19" t="s">
        <v>645</v>
      </c>
      <c r="G236" s="20">
        <v>1</v>
      </c>
      <c r="H236" s="20">
        <v>5</v>
      </c>
      <c r="I236" s="18">
        <f>ROUND(G236,0)</f>
        <v>1</v>
      </c>
      <c r="J236" s="18">
        <f>ROUND(H236,0)</f>
        <v>5</v>
      </c>
      <c r="K236" s="21" t="str">
        <f>IF(I236=J236,"TAM",(CONCATENATE(G236,"/",H236)))</f>
        <v>1/5</v>
      </c>
      <c r="L236" s="22">
        <f>2844.13*1/5</f>
        <v>568.826</v>
      </c>
      <c r="M236" s="23">
        <v>0</v>
      </c>
      <c r="N236" s="18" t="str">
        <f>IF(M236=0,"0",(O236*M236))</f>
        <v>0</v>
      </c>
      <c r="O236" s="18">
        <f>IF(W236=1,L236,((D236*G236/H236)-P236)/(1-V236)-S236-T236)</f>
        <v>568.826</v>
      </c>
      <c r="P236" s="18">
        <v>0</v>
      </c>
      <c r="Q236" s="18">
        <f>IF(U236=0,"0",O236*U236)</f>
        <v>167.66960885542443</v>
      </c>
      <c r="R236" s="24">
        <f>IF(U236=0,(((D236*G236/H236)-P236-S236-T236)/(1-V236)),(((D236*G236/H236)-P236-S236-T236)/(1-V236))-((D236*G236/H236)-P236-S236-T236)*U236/(1-V236))</f>
        <v>401.1563911445756</v>
      </c>
      <c r="S236" s="20">
        <v>0</v>
      </c>
      <c r="T236" s="20">
        <v>0</v>
      </c>
      <c r="U236" s="20">
        <v>0.294764319590568</v>
      </c>
      <c r="V236" s="20">
        <v>0</v>
      </c>
      <c r="W236" s="25">
        <f>IF(V236&gt;U236,1,V236)</f>
        <v>0</v>
      </c>
      <c r="X236" s="20">
        <v>1</v>
      </c>
      <c r="Y236" s="66">
        <v>0</v>
      </c>
      <c r="Z236" s="72" t="str">
        <f>IF(OR(W236=1,W236=0),"0",(Q236-N236))</f>
        <v>0</v>
      </c>
      <c r="AA236" s="67" t="s">
        <v>646</v>
      </c>
      <c r="AB236" s="18" t="s">
        <v>647</v>
      </c>
      <c r="AC236" s="18">
        <v>401.15</v>
      </c>
      <c r="AD236" s="18">
        <v>2005.78</v>
      </c>
      <c r="AE236" s="18">
        <f>ROUND(AC236*100,0)</f>
        <v>40115</v>
      </c>
      <c r="AF236" s="18">
        <f>ROUND(AD236*100,0)</f>
        <v>200578</v>
      </c>
      <c r="AG236" s="26" t="str">
        <f>IF(AC236=AD236,"TAM",(CONCATENATE(AE236,"/",AF236)))</f>
        <v>40115/200578</v>
      </c>
      <c r="AH236" s="27" t="s">
        <v>50</v>
      </c>
      <c r="AI236" s="27" t="s">
        <v>50</v>
      </c>
      <c r="AJ236" s="80"/>
      <c r="AK236" s="55" t="s">
        <v>50</v>
      </c>
      <c r="AL236" s="2" t="s">
        <v>50</v>
      </c>
    </row>
    <row r="237" spans="1:37" ht="12.75" customHeight="1">
      <c r="A237" s="56"/>
      <c r="B237" s="28"/>
      <c r="C237" s="28"/>
      <c r="D237" s="29"/>
      <c r="E237" s="30" t="s">
        <v>50</v>
      </c>
      <c r="F237" s="30"/>
      <c r="G237" s="30"/>
      <c r="H237" s="30"/>
      <c r="I237" s="29"/>
      <c r="J237" s="29"/>
      <c r="K237" s="31"/>
      <c r="L237" s="31"/>
      <c r="M237" s="31"/>
      <c r="N237" s="31"/>
      <c r="O237" s="31"/>
      <c r="P237" s="30"/>
      <c r="Q237" s="30"/>
      <c r="R237" s="30"/>
      <c r="S237" s="30"/>
      <c r="T237" s="30"/>
      <c r="U237" s="30"/>
      <c r="V237" s="30"/>
      <c r="W237" s="30"/>
      <c r="X237" s="30"/>
      <c r="Y237" s="57"/>
      <c r="Z237" s="73"/>
      <c r="AA237" s="12"/>
      <c r="AB237" s="28"/>
      <c r="AC237" s="28"/>
      <c r="AD237" s="28"/>
      <c r="AE237" s="28"/>
      <c r="AF237" s="28"/>
      <c r="AG237" s="28"/>
      <c r="AH237" s="28"/>
      <c r="AI237" s="28"/>
      <c r="AJ237" s="80"/>
      <c r="AK237" s="57"/>
    </row>
    <row r="238" spans="1:38" ht="12.75" customHeight="1">
      <c r="A238" s="54">
        <v>175</v>
      </c>
      <c r="B238" s="17">
        <v>1108</v>
      </c>
      <c r="C238" s="17" t="s">
        <v>648</v>
      </c>
      <c r="D238" s="18">
        <v>2844.13</v>
      </c>
      <c r="E238" s="19" t="s">
        <v>649</v>
      </c>
      <c r="F238" s="19" t="s">
        <v>650</v>
      </c>
      <c r="G238" s="20">
        <v>1</v>
      </c>
      <c r="H238" s="20">
        <v>5</v>
      </c>
      <c r="I238" s="18">
        <f>ROUND(G238,0)</f>
        <v>1</v>
      </c>
      <c r="J238" s="18">
        <f>ROUND(H238,0)</f>
        <v>5</v>
      </c>
      <c r="K238" s="21" t="str">
        <f>IF(I238=J238,"TAM",(CONCATENATE(G238,"/",H238)))</f>
        <v>1/5</v>
      </c>
      <c r="L238" s="22">
        <f>2844.13*1/5</f>
        <v>568.826</v>
      </c>
      <c r="M238" s="23">
        <v>0</v>
      </c>
      <c r="N238" s="18" t="str">
        <f>IF(M238=0,"0",(O238*M238))</f>
        <v>0</v>
      </c>
      <c r="O238" s="18">
        <f>IF(W238=1,L238,((D238*G238/H238)-P238)/(1-V238)-S238-T238)</f>
        <v>568.826</v>
      </c>
      <c r="P238" s="18">
        <v>0</v>
      </c>
      <c r="Q238" s="18">
        <f>IF(U238=0,"0",O238*U238)</f>
        <v>167.66960885542443</v>
      </c>
      <c r="R238" s="24">
        <f>IF(U238=0,(((D238*G238/H238)-P238-S238-T238)/(1-V238)),(((D238*G238/H238)-P238-S238-T238)/(1-V238))-((D238*G238/H238)-P238-S238-T238)*U238/(1-V238))</f>
        <v>401.1563911445756</v>
      </c>
      <c r="S238" s="20">
        <v>0</v>
      </c>
      <c r="T238" s="20">
        <v>0</v>
      </c>
      <c r="U238" s="20">
        <v>0.294764319590568</v>
      </c>
      <c r="V238" s="20">
        <v>0</v>
      </c>
      <c r="W238" s="25">
        <f>IF(V238&gt;U238,1,V238)</f>
        <v>0</v>
      </c>
      <c r="X238" s="20">
        <v>1</v>
      </c>
      <c r="Y238" s="66">
        <v>0</v>
      </c>
      <c r="Z238" s="72" t="str">
        <f>IF(OR(W238=1,W238=0),"0",(Q238-N238))</f>
        <v>0</v>
      </c>
      <c r="AA238" s="67" t="s">
        <v>651</v>
      </c>
      <c r="AB238" s="18" t="s">
        <v>652</v>
      </c>
      <c r="AC238" s="18">
        <v>401.15</v>
      </c>
      <c r="AD238" s="18">
        <v>2005.78</v>
      </c>
      <c r="AE238" s="18">
        <f>ROUND(AC238*100,0)</f>
        <v>40115</v>
      </c>
      <c r="AF238" s="18">
        <f>ROUND(AD238*100,0)</f>
        <v>200578</v>
      </c>
      <c r="AG238" s="26" t="str">
        <f>IF(AC238=AD238,"TAM",(CONCATENATE(AE238,"/",AF238)))</f>
        <v>40115/200578</v>
      </c>
      <c r="AH238" s="27" t="s">
        <v>50</v>
      </c>
      <c r="AI238" s="27" t="s">
        <v>50</v>
      </c>
      <c r="AJ238" s="80"/>
      <c r="AK238" s="55" t="s">
        <v>50</v>
      </c>
      <c r="AL238" s="2" t="s">
        <v>50</v>
      </c>
    </row>
    <row r="239" spans="1:37" ht="12.75" customHeight="1">
      <c r="A239" s="56"/>
      <c r="B239" s="28"/>
      <c r="C239" s="28"/>
      <c r="D239" s="29"/>
      <c r="E239" s="30" t="s">
        <v>50</v>
      </c>
      <c r="F239" s="30"/>
      <c r="G239" s="30"/>
      <c r="H239" s="30"/>
      <c r="I239" s="29"/>
      <c r="J239" s="29"/>
      <c r="K239" s="31"/>
      <c r="L239" s="31"/>
      <c r="M239" s="31"/>
      <c r="N239" s="31"/>
      <c r="O239" s="31"/>
      <c r="P239" s="30"/>
      <c r="Q239" s="30"/>
      <c r="R239" s="30"/>
      <c r="S239" s="30"/>
      <c r="T239" s="30"/>
      <c r="U239" s="30"/>
      <c r="V239" s="30"/>
      <c r="W239" s="30"/>
      <c r="X239" s="30"/>
      <c r="Y239" s="57"/>
      <c r="Z239" s="73"/>
      <c r="AA239" s="12"/>
      <c r="AB239" s="28"/>
      <c r="AC239" s="28"/>
      <c r="AD239" s="28"/>
      <c r="AE239" s="28"/>
      <c r="AF239" s="28"/>
      <c r="AG239" s="28"/>
      <c r="AH239" s="28"/>
      <c r="AI239" s="28"/>
      <c r="AJ239" s="80"/>
      <c r="AK239" s="57"/>
    </row>
    <row r="240" spans="1:38" ht="12.75" customHeight="1">
      <c r="A240" s="54">
        <v>171</v>
      </c>
      <c r="B240" s="17">
        <v>1108</v>
      </c>
      <c r="C240" s="17" t="s">
        <v>653</v>
      </c>
      <c r="D240" s="18">
        <v>2844.13</v>
      </c>
      <c r="E240" s="19" t="s">
        <v>654</v>
      </c>
      <c r="F240" s="19" t="s">
        <v>655</v>
      </c>
      <c r="G240" s="20">
        <v>1</v>
      </c>
      <c r="H240" s="20">
        <v>5</v>
      </c>
      <c r="I240" s="18">
        <f>ROUND(G240,0)</f>
        <v>1</v>
      </c>
      <c r="J240" s="18">
        <f>ROUND(H240,0)</f>
        <v>5</v>
      </c>
      <c r="K240" s="21" t="str">
        <f>IF(I240=J240,"TAM",(CONCATENATE(G240,"/",H240)))</f>
        <v>1/5</v>
      </c>
      <c r="L240" s="22">
        <f>2844.13*1/5</f>
        <v>568.826</v>
      </c>
      <c r="M240" s="23">
        <v>0</v>
      </c>
      <c r="N240" s="18" t="str">
        <f>IF(M240=0,"0",(O240*M240))</f>
        <v>0</v>
      </c>
      <c r="O240" s="18">
        <f>IF(W240=1,L240,((D240*G240/H240)-P240)/(1-V240)-S240-T240)</f>
        <v>568.826</v>
      </c>
      <c r="P240" s="18">
        <v>0</v>
      </c>
      <c r="Q240" s="18">
        <f>IF(U240=0,"0",O240*U240)</f>
        <v>167.66960885542443</v>
      </c>
      <c r="R240" s="24">
        <f>IF(U240=0,(((D240*G240/H240)-P240-S240-T240)/(1-V240)),(((D240*G240/H240)-P240-S240-T240)/(1-V240))-((D240*G240/H240)-P240-S240-T240)*U240/(1-V240))</f>
        <v>401.1563911445756</v>
      </c>
      <c r="S240" s="20">
        <v>0</v>
      </c>
      <c r="T240" s="20">
        <v>0</v>
      </c>
      <c r="U240" s="20">
        <v>0.294764319590568</v>
      </c>
      <c r="V240" s="20">
        <v>0</v>
      </c>
      <c r="W240" s="25">
        <f>IF(V240&gt;U240,1,V240)</f>
        <v>0</v>
      </c>
      <c r="X240" s="20">
        <v>1</v>
      </c>
      <c r="Y240" s="66">
        <v>0</v>
      </c>
      <c r="Z240" s="72" t="str">
        <f>IF(OR(W240=1,W240=0),"0",(Q240-N240))</f>
        <v>0</v>
      </c>
      <c r="AA240" s="67" t="s">
        <v>656</v>
      </c>
      <c r="AB240" s="18" t="s">
        <v>657</v>
      </c>
      <c r="AC240" s="18">
        <v>401.16</v>
      </c>
      <c r="AD240" s="18">
        <v>2005.78</v>
      </c>
      <c r="AE240" s="18">
        <f>ROUND(AC240*100,0)</f>
        <v>40116</v>
      </c>
      <c r="AF240" s="18">
        <f>ROUND(AD240*100,0)</f>
        <v>200578</v>
      </c>
      <c r="AG240" s="26" t="str">
        <f>IF(AC240=AD240,"TAM",(CONCATENATE(AE240,"/",AF240)))</f>
        <v>40116/200578</v>
      </c>
      <c r="AH240" s="27" t="s">
        <v>50</v>
      </c>
      <c r="AI240" s="27" t="s">
        <v>50</v>
      </c>
      <c r="AJ240" s="80"/>
      <c r="AK240" s="55" t="s">
        <v>50</v>
      </c>
      <c r="AL240" s="2" t="s">
        <v>50</v>
      </c>
    </row>
    <row r="241" spans="1:37" ht="12.75" customHeight="1">
      <c r="A241" s="56"/>
      <c r="B241" s="28"/>
      <c r="C241" s="28"/>
      <c r="D241" s="29"/>
      <c r="E241" s="30" t="s">
        <v>50</v>
      </c>
      <c r="F241" s="30"/>
      <c r="G241" s="30"/>
      <c r="H241" s="30"/>
      <c r="I241" s="29"/>
      <c r="J241" s="29"/>
      <c r="K241" s="31"/>
      <c r="L241" s="31"/>
      <c r="M241" s="31"/>
      <c r="N241" s="31"/>
      <c r="O241" s="31"/>
      <c r="P241" s="30"/>
      <c r="Q241" s="30"/>
      <c r="R241" s="30"/>
      <c r="S241" s="30"/>
      <c r="T241" s="30"/>
      <c r="U241" s="30"/>
      <c r="V241" s="30"/>
      <c r="W241" s="30"/>
      <c r="X241" s="30"/>
      <c r="Y241" s="57"/>
      <c r="Z241" s="73"/>
      <c r="AA241" s="12"/>
      <c r="AB241" s="28"/>
      <c r="AC241" s="28"/>
      <c r="AD241" s="28"/>
      <c r="AE241" s="28"/>
      <c r="AF241" s="28"/>
      <c r="AG241" s="28"/>
      <c r="AH241" s="28"/>
      <c r="AI241" s="28"/>
      <c r="AJ241" s="81"/>
      <c r="AK241" s="57"/>
    </row>
    <row r="242" spans="1:38" ht="12.75" customHeight="1">
      <c r="A242" s="54">
        <v>176</v>
      </c>
      <c r="B242" s="17">
        <v>1109</v>
      </c>
      <c r="C242" s="17" t="s">
        <v>658</v>
      </c>
      <c r="D242" s="18">
        <v>250.05</v>
      </c>
      <c r="E242" s="19" t="s">
        <v>659</v>
      </c>
      <c r="F242" s="19" t="s">
        <v>660</v>
      </c>
      <c r="G242" s="20">
        <v>1</v>
      </c>
      <c r="H242" s="20">
        <v>1</v>
      </c>
      <c r="I242" s="18">
        <f>ROUND(G242,0)</f>
        <v>1</v>
      </c>
      <c r="J242" s="18">
        <f>ROUND(H242,0)</f>
        <v>1</v>
      </c>
      <c r="K242" s="21" t="str">
        <f>IF(I242=J242,"TAM",(CONCATENATE(G242,"/",H242)))</f>
        <v>TAM</v>
      </c>
      <c r="L242" s="22">
        <f>250.05*1/1</f>
        <v>250.05</v>
      </c>
      <c r="M242" s="23">
        <v>0</v>
      </c>
      <c r="N242" s="18" t="str">
        <f>IF(M242=0,"0",(O242*M242))</f>
        <v>0</v>
      </c>
      <c r="O242" s="18">
        <f>IF(W242=1,L242,((D242*G242/H242)-P242)/(1-V242)-S242-T242)</f>
        <v>250.05</v>
      </c>
      <c r="P242" s="18">
        <v>0</v>
      </c>
      <c r="Q242" s="18">
        <f>IF(U242=0,"0",O242*U242)</f>
        <v>73.70581811362153</v>
      </c>
      <c r="R242" s="24">
        <f>IF(U242=0,(((D242*G242/H242)-P242-S242-T242)/(1-V242)),(((D242*G242/H242)-P242-S242-T242)/(1-V242))-((D242*G242/H242)-P242-S242-T242)*U242/(1-V242))</f>
        <v>176.34418188637846</v>
      </c>
      <c r="S242" s="20">
        <v>0</v>
      </c>
      <c r="T242" s="20">
        <v>0</v>
      </c>
      <c r="U242" s="20">
        <v>0.294764319590568</v>
      </c>
      <c r="V242" s="20">
        <v>0</v>
      </c>
      <c r="W242" s="25">
        <f>IF(V242&gt;U242,1,V242)</f>
        <v>0</v>
      </c>
      <c r="X242" s="20">
        <v>1</v>
      </c>
      <c r="Y242" s="66">
        <v>0</v>
      </c>
      <c r="Z242" s="72" t="str">
        <f>IF(OR(W242=1,W242=0),"0",(Q242-N242))</f>
        <v>0</v>
      </c>
      <c r="AA242" s="67" t="s">
        <v>661</v>
      </c>
      <c r="AB242" s="18" t="s">
        <v>663</v>
      </c>
      <c r="AC242" s="18">
        <v>176.34</v>
      </c>
      <c r="AD242" s="18">
        <v>1144.67</v>
      </c>
      <c r="AE242" s="18">
        <f>ROUND(AC242*100,0)</f>
        <v>17634</v>
      </c>
      <c r="AF242" s="18">
        <f>ROUND(AD242*100,0)</f>
        <v>114467</v>
      </c>
      <c r="AG242" s="26" t="str">
        <f>IF(AC242=AD242,"TAM",(CONCATENATE(AE242,"/",AF242)))</f>
        <v>17634/114467</v>
      </c>
      <c r="AH242" s="27" t="s">
        <v>50</v>
      </c>
      <c r="AI242" s="27" t="s">
        <v>50</v>
      </c>
      <c r="AJ242" s="79" t="s">
        <v>662</v>
      </c>
      <c r="AK242" s="55" t="s">
        <v>50</v>
      </c>
      <c r="AL242" s="2" t="s">
        <v>50</v>
      </c>
    </row>
    <row r="243" spans="1:37" ht="12.75" customHeight="1">
      <c r="A243" s="56"/>
      <c r="B243" s="28"/>
      <c r="C243" s="28"/>
      <c r="D243" s="29"/>
      <c r="E243" s="30" t="s">
        <v>50</v>
      </c>
      <c r="F243" s="30"/>
      <c r="G243" s="30"/>
      <c r="H243" s="30"/>
      <c r="I243" s="29"/>
      <c r="J243" s="29"/>
      <c r="K243" s="31"/>
      <c r="L243" s="31"/>
      <c r="M243" s="31"/>
      <c r="N243" s="31"/>
      <c r="O243" s="31"/>
      <c r="P243" s="30"/>
      <c r="Q243" s="30"/>
      <c r="R243" s="30"/>
      <c r="S243" s="30"/>
      <c r="T243" s="30"/>
      <c r="U243" s="30"/>
      <c r="V243" s="30"/>
      <c r="W243" s="30"/>
      <c r="X243" s="30"/>
      <c r="Y243" s="57"/>
      <c r="Z243" s="73"/>
      <c r="AA243" s="12"/>
      <c r="AB243" s="28"/>
      <c r="AC243" s="28"/>
      <c r="AD243" s="28"/>
      <c r="AE243" s="28"/>
      <c r="AF243" s="28"/>
      <c r="AG243" s="28"/>
      <c r="AH243" s="28"/>
      <c r="AI243" s="28"/>
      <c r="AJ243" s="80"/>
      <c r="AK243" s="57"/>
    </row>
    <row r="244" spans="1:38" ht="12.75" customHeight="1">
      <c r="A244" s="54">
        <v>177</v>
      </c>
      <c r="B244" s="17">
        <v>1110</v>
      </c>
      <c r="C244" s="17" t="s">
        <v>664</v>
      </c>
      <c r="D244" s="18">
        <v>130.25</v>
      </c>
      <c r="E244" s="19" t="s">
        <v>665</v>
      </c>
      <c r="F244" s="19" t="s">
        <v>666</v>
      </c>
      <c r="G244" s="20">
        <v>1</v>
      </c>
      <c r="H244" s="20">
        <v>1</v>
      </c>
      <c r="I244" s="18">
        <f>ROUND(G244,0)</f>
        <v>1</v>
      </c>
      <c r="J244" s="18">
        <f>ROUND(H244,0)</f>
        <v>1</v>
      </c>
      <c r="K244" s="21" t="str">
        <f>IF(I244=J244,"TAM",(CONCATENATE(G244,"/",H244)))</f>
        <v>TAM</v>
      </c>
      <c r="L244" s="22">
        <f>130.25*1/1</f>
        <v>130.25</v>
      </c>
      <c r="M244" s="23">
        <v>0</v>
      </c>
      <c r="N244" s="18" t="str">
        <f>IF(M244=0,"0",(O244*M244))</f>
        <v>0</v>
      </c>
      <c r="O244" s="18">
        <f>IF(W244=1,L244,((D244*G244/H244)-P244)/(1-V244)-S244-T244)</f>
        <v>130.25</v>
      </c>
      <c r="P244" s="18">
        <v>0</v>
      </c>
      <c r="Q244" s="18">
        <f>IF(U244=0,"0",O244*U244)</f>
        <v>38.393052626671476</v>
      </c>
      <c r="R244" s="24">
        <f>IF(U244=0,(((D244*G244/H244)-P244-S244-T244)/(1-V244)),(((D244*G244/H244)-P244-S244-T244)/(1-V244))-((D244*G244/H244)-P244-S244-T244)*U244/(1-V244))</f>
        <v>91.85694737332852</v>
      </c>
      <c r="S244" s="20">
        <v>0</v>
      </c>
      <c r="T244" s="20">
        <v>0</v>
      </c>
      <c r="U244" s="20">
        <v>0.294764319590568</v>
      </c>
      <c r="V244" s="20">
        <v>0</v>
      </c>
      <c r="W244" s="25">
        <f>IF(V244&gt;U244,1,V244)</f>
        <v>0</v>
      </c>
      <c r="X244" s="20">
        <v>1</v>
      </c>
      <c r="Y244" s="66">
        <v>0</v>
      </c>
      <c r="Z244" s="72" t="str">
        <f>IF(OR(W244=1,W244=0),"0",(Q244-N244))</f>
        <v>0</v>
      </c>
      <c r="AA244" s="67" t="s">
        <v>667</v>
      </c>
      <c r="AB244" s="18" t="s">
        <v>668</v>
      </c>
      <c r="AC244" s="18">
        <v>91.86</v>
      </c>
      <c r="AD244" s="18">
        <v>1144.67</v>
      </c>
      <c r="AE244" s="18">
        <f>ROUND(AC244*100,0)</f>
        <v>9186</v>
      </c>
      <c r="AF244" s="18">
        <f>ROUND(AD244*100,0)</f>
        <v>114467</v>
      </c>
      <c r="AG244" s="26" t="str">
        <f>IF(AC244=AD244,"TAM",(CONCATENATE(AE244,"/",AF244)))</f>
        <v>9186/114467</v>
      </c>
      <c r="AH244" s="27" t="s">
        <v>50</v>
      </c>
      <c r="AI244" s="27" t="s">
        <v>50</v>
      </c>
      <c r="AJ244" s="80"/>
      <c r="AK244" s="55" t="s">
        <v>50</v>
      </c>
      <c r="AL244" s="2" t="s">
        <v>50</v>
      </c>
    </row>
    <row r="245" spans="1:37" ht="12.75" customHeight="1">
      <c r="A245" s="56"/>
      <c r="B245" s="28"/>
      <c r="C245" s="28"/>
      <c r="D245" s="29"/>
      <c r="E245" s="30" t="s">
        <v>50</v>
      </c>
      <c r="F245" s="30"/>
      <c r="G245" s="30"/>
      <c r="H245" s="30"/>
      <c r="I245" s="29"/>
      <c r="J245" s="29"/>
      <c r="K245" s="31"/>
      <c r="L245" s="31"/>
      <c r="M245" s="31"/>
      <c r="N245" s="31"/>
      <c r="O245" s="31"/>
      <c r="P245" s="30"/>
      <c r="Q245" s="30"/>
      <c r="R245" s="30"/>
      <c r="S245" s="30"/>
      <c r="T245" s="30"/>
      <c r="U245" s="30"/>
      <c r="V245" s="30"/>
      <c r="W245" s="30"/>
      <c r="X245" s="30"/>
      <c r="Y245" s="57"/>
      <c r="Z245" s="73"/>
      <c r="AA245" s="12"/>
      <c r="AB245" s="28"/>
      <c r="AC245" s="28"/>
      <c r="AD245" s="28"/>
      <c r="AE245" s="28"/>
      <c r="AF245" s="28"/>
      <c r="AG245" s="28"/>
      <c r="AH245" s="28"/>
      <c r="AI245" s="28"/>
      <c r="AJ245" s="80"/>
      <c r="AK245" s="57"/>
    </row>
    <row r="246" spans="1:38" ht="12.75" customHeight="1">
      <c r="A246" s="54">
        <v>178</v>
      </c>
      <c r="B246" s="17">
        <v>1111</v>
      </c>
      <c r="C246" s="17" t="s">
        <v>669</v>
      </c>
      <c r="D246" s="18">
        <v>122.25</v>
      </c>
      <c r="E246" s="19" t="s">
        <v>670</v>
      </c>
      <c r="F246" s="19" t="s">
        <v>671</v>
      </c>
      <c r="G246" s="20">
        <v>1</v>
      </c>
      <c r="H246" s="20">
        <v>1</v>
      </c>
      <c r="I246" s="18">
        <f>ROUND(G246,0)</f>
        <v>1</v>
      </c>
      <c r="J246" s="18">
        <f>ROUND(H246,0)</f>
        <v>1</v>
      </c>
      <c r="K246" s="21" t="str">
        <f>IF(I246=J246,"TAM",(CONCATENATE(G246,"/",H246)))</f>
        <v>TAM</v>
      </c>
      <c r="L246" s="22">
        <f>122.25*1/1</f>
        <v>122.25</v>
      </c>
      <c r="M246" s="23">
        <v>0</v>
      </c>
      <c r="N246" s="18" t="str">
        <f>IF(M246=0,"0",(O246*M246))</f>
        <v>0</v>
      </c>
      <c r="O246" s="18">
        <f>IF(W246=1,L246,((D246*G246/H246)-P246)/(1-V246)-S246-T246)</f>
        <v>122.25</v>
      </c>
      <c r="P246" s="18">
        <v>0</v>
      </c>
      <c r="Q246" s="18">
        <f>IF(U246=0,"0",O246*U246)</f>
        <v>36.03493806994693</v>
      </c>
      <c r="R246" s="24">
        <f>IF(U246=0,(((D246*G246/H246)-P246-S246-T246)/(1-V246)),(((D246*G246/H246)-P246-S246-T246)/(1-V246))-((D246*G246/H246)-P246-S246-T246)*U246/(1-V246))</f>
        <v>86.21506193005307</v>
      </c>
      <c r="S246" s="20">
        <v>0</v>
      </c>
      <c r="T246" s="20">
        <v>0</v>
      </c>
      <c r="U246" s="20">
        <v>0.294764319590568</v>
      </c>
      <c r="V246" s="20">
        <v>0</v>
      </c>
      <c r="W246" s="25">
        <f>IF(V246&gt;U246,1,V246)</f>
        <v>0</v>
      </c>
      <c r="X246" s="20">
        <v>1</v>
      </c>
      <c r="Y246" s="66">
        <v>0</v>
      </c>
      <c r="Z246" s="72" t="str">
        <f>IF(OR(W246=1,W246=0),"0",(Q246-N246))</f>
        <v>0</v>
      </c>
      <c r="AA246" s="67" t="s">
        <v>672</v>
      </c>
      <c r="AB246" s="18" t="s">
        <v>673</v>
      </c>
      <c r="AC246" s="18">
        <v>86.22</v>
      </c>
      <c r="AD246" s="18">
        <v>1144.67</v>
      </c>
      <c r="AE246" s="18">
        <f>ROUND(AC246*100,0)</f>
        <v>8622</v>
      </c>
      <c r="AF246" s="18">
        <f>ROUND(AD246*100,0)</f>
        <v>114467</v>
      </c>
      <c r="AG246" s="26" t="str">
        <f>IF(AC246=AD246,"TAM",(CONCATENATE(AE246,"/",AF246)))</f>
        <v>8622/114467</v>
      </c>
      <c r="AH246" s="27" t="s">
        <v>50</v>
      </c>
      <c r="AI246" s="27" t="s">
        <v>50</v>
      </c>
      <c r="AJ246" s="80"/>
      <c r="AK246" s="55" t="s">
        <v>50</v>
      </c>
      <c r="AL246" s="2" t="s">
        <v>50</v>
      </c>
    </row>
    <row r="247" spans="1:37" ht="12.75" customHeight="1">
      <c r="A247" s="56"/>
      <c r="B247" s="28"/>
      <c r="C247" s="28"/>
      <c r="D247" s="29"/>
      <c r="E247" s="30" t="s">
        <v>50</v>
      </c>
      <c r="F247" s="30"/>
      <c r="G247" s="30"/>
      <c r="H247" s="30"/>
      <c r="I247" s="29"/>
      <c r="J247" s="29"/>
      <c r="K247" s="31"/>
      <c r="L247" s="31"/>
      <c r="M247" s="31"/>
      <c r="N247" s="31"/>
      <c r="O247" s="31"/>
      <c r="P247" s="30"/>
      <c r="Q247" s="30"/>
      <c r="R247" s="30"/>
      <c r="S247" s="30"/>
      <c r="T247" s="30"/>
      <c r="U247" s="30"/>
      <c r="V247" s="30"/>
      <c r="W247" s="30"/>
      <c r="X247" s="30"/>
      <c r="Y247" s="57"/>
      <c r="Z247" s="73"/>
      <c r="AA247" s="12"/>
      <c r="AB247" s="28"/>
      <c r="AC247" s="28"/>
      <c r="AD247" s="28"/>
      <c r="AE247" s="28"/>
      <c r="AF247" s="28"/>
      <c r="AG247" s="28"/>
      <c r="AH247" s="28"/>
      <c r="AI247" s="28"/>
      <c r="AJ247" s="80"/>
      <c r="AK247" s="57"/>
    </row>
    <row r="248" spans="1:38" ht="12.75" customHeight="1">
      <c r="A248" s="54">
        <v>179</v>
      </c>
      <c r="B248" s="17">
        <v>1112</v>
      </c>
      <c r="C248" s="17" t="s">
        <v>674</v>
      </c>
      <c r="D248" s="18">
        <v>235.65</v>
      </c>
      <c r="E248" s="19" t="s">
        <v>675</v>
      </c>
      <c r="F248" s="19" t="s">
        <v>676</v>
      </c>
      <c r="G248" s="20">
        <v>1</v>
      </c>
      <c r="H248" s="20">
        <v>1</v>
      </c>
      <c r="I248" s="18">
        <f>ROUND(G248,0)</f>
        <v>1</v>
      </c>
      <c r="J248" s="18">
        <f>ROUND(H248,0)</f>
        <v>1</v>
      </c>
      <c r="K248" s="21" t="str">
        <f>IF(I248=J248,"TAM",(CONCATENATE(G248,"/",H248)))</f>
        <v>TAM</v>
      </c>
      <c r="L248" s="22">
        <f>235.65*1/1</f>
        <v>235.65</v>
      </c>
      <c r="M248" s="23">
        <v>0</v>
      </c>
      <c r="N248" s="18" t="str">
        <f>IF(M248=0,"0",(O248*M248))</f>
        <v>0</v>
      </c>
      <c r="O248" s="18">
        <f>IF(W248=1,L248,((D248*G248/H248)-P248)/(1-V248)-S248-T248)</f>
        <v>133.32</v>
      </c>
      <c r="P248" s="18">
        <v>102.33</v>
      </c>
      <c r="Q248" s="18">
        <f>IF(U248=0,"0",O248*U248)</f>
        <v>39.29797908781452</v>
      </c>
      <c r="R248" s="24">
        <f>IF(U248=0,(((D248*G248/H248)-P248-S248-T248)/(1-V248)),(((D248*G248/H248)-P248-S248-T248)/(1-V248))-((D248*G248/H248)-P248-S248-T248)*U248/(1-V248))</f>
        <v>94.02202091218547</v>
      </c>
      <c r="S248" s="20">
        <v>0</v>
      </c>
      <c r="T248" s="20">
        <v>0</v>
      </c>
      <c r="U248" s="20">
        <v>0.294764319590568</v>
      </c>
      <c r="V248" s="20">
        <v>0</v>
      </c>
      <c r="W248" s="25">
        <f>IF(V248&gt;U248,1,V248)</f>
        <v>0</v>
      </c>
      <c r="X248" s="20">
        <v>1</v>
      </c>
      <c r="Y248" s="66">
        <v>0</v>
      </c>
      <c r="Z248" s="72" t="str">
        <f>IF(OR(W248=1,W248=0),"0",(Q248-N248))</f>
        <v>0</v>
      </c>
      <c r="AA248" s="67" t="s">
        <v>677</v>
      </c>
      <c r="AB248" s="18" t="s">
        <v>678</v>
      </c>
      <c r="AC248" s="18">
        <v>94.02</v>
      </c>
      <c r="AD248" s="18">
        <v>1144.67</v>
      </c>
      <c r="AE248" s="18">
        <f>ROUND(AC248*100,0)</f>
        <v>9402</v>
      </c>
      <c r="AF248" s="18">
        <f>ROUND(AD248*100,0)</f>
        <v>114467</v>
      </c>
      <c r="AG248" s="26" t="str">
        <f>IF(AC248=AD248,"TAM",(CONCATENATE(AE248,"/",AF248)))</f>
        <v>9402/114467</v>
      </c>
      <c r="AH248" s="27" t="s">
        <v>50</v>
      </c>
      <c r="AI248" s="27" t="s">
        <v>50</v>
      </c>
      <c r="AJ248" s="80"/>
      <c r="AK248" s="55" t="s">
        <v>50</v>
      </c>
      <c r="AL248" s="2" t="s">
        <v>50</v>
      </c>
    </row>
    <row r="249" spans="1:37" ht="12.75" customHeight="1">
      <c r="A249" s="56"/>
      <c r="B249" s="28"/>
      <c r="C249" s="28"/>
      <c r="D249" s="29"/>
      <c r="E249" s="30" t="s">
        <v>50</v>
      </c>
      <c r="F249" s="30"/>
      <c r="G249" s="30"/>
      <c r="H249" s="30"/>
      <c r="I249" s="29"/>
      <c r="J249" s="29"/>
      <c r="K249" s="31"/>
      <c r="L249" s="31"/>
      <c r="M249" s="31"/>
      <c r="N249" s="31"/>
      <c r="O249" s="31"/>
      <c r="P249" s="30"/>
      <c r="Q249" s="30"/>
      <c r="R249" s="30"/>
      <c r="S249" s="30"/>
      <c r="T249" s="30"/>
      <c r="U249" s="30"/>
      <c r="V249" s="30"/>
      <c r="W249" s="30"/>
      <c r="X249" s="30"/>
      <c r="Y249" s="57"/>
      <c r="Z249" s="73"/>
      <c r="AA249" s="12"/>
      <c r="AB249" s="28"/>
      <c r="AC249" s="28"/>
      <c r="AD249" s="28"/>
      <c r="AE249" s="28"/>
      <c r="AF249" s="28"/>
      <c r="AG249" s="28"/>
      <c r="AH249" s="28"/>
      <c r="AI249" s="28"/>
      <c r="AJ249" s="80"/>
      <c r="AK249" s="57"/>
    </row>
    <row r="250" spans="1:38" ht="12.75" customHeight="1">
      <c r="A250" s="54">
        <v>30</v>
      </c>
      <c r="B250" s="17">
        <v>1149</v>
      </c>
      <c r="C250" s="17" t="s">
        <v>679</v>
      </c>
      <c r="D250" s="18">
        <v>8845.1</v>
      </c>
      <c r="E250" s="19" t="s">
        <v>680</v>
      </c>
      <c r="F250" s="19" t="s">
        <v>681</v>
      </c>
      <c r="G250" s="20">
        <v>1</v>
      </c>
      <c r="H250" s="20">
        <v>1</v>
      </c>
      <c r="I250" s="18">
        <f>ROUND(G250,0)</f>
        <v>1</v>
      </c>
      <c r="J250" s="18">
        <f>ROUND(H250,0)</f>
        <v>1</v>
      </c>
      <c r="K250" s="21" t="str">
        <f>IF(I250=J250,"TAM",(CONCATENATE(G250,"/",H250)))</f>
        <v>TAM</v>
      </c>
      <c r="L250" s="22">
        <f>8845.1*1/1</f>
        <v>8845.1</v>
      </c>
      <c r="M250" s="23">
        <v>0</v>
      </c>
      <c r="N250" s="18" t="str">
        <f>IF(M250=0,"0",(O250*M250))</f>
        <v>0</v>
      </c>
      <c r="O250" s="18">
        <f>IF(W250=1,L250,((D250*G250/H250)-P250)/(1-V250)-S250-T250)</f>
        <v>8845.1</v>
      </c>
      <c r="P250" s="18">
        <v>0</v>
      </c>
      <c r="Q250" s="18">
        <f>IF(U250=0,"0",O250*U250)</f>
        <v>2607.2198832105328</v>
      </c>
      <c r="R250" s="24">
        <f>IF(U250=0,(((D250*G250/H250)-P250-S250-T250)/(1-V250)),(((D250*G250/H250)-P250-S250-T250)/(1-V250))-((D250*G250/H250)-P250-S250-T250)*U250/(1-V250))</f>
        <v>6237.880116789467</v>
      </c>
      <c r="S250" s="20">
        <v>0</v>
      </c>
      <c r="T250" s="20">
        <v>0</v>
      </c>
      <c r="U250" s="20">
        <v>0.294764319590568</v>
      </c>
      <c r="V250" s="20">
        <v>0</v>
      </c>
      <c r="W250" s="25">
        <f>IF(V250&gt;U250,1,V250)</f>
        <v>0</v>
      </c>
      <c r="X250" s="20">
        <v>1</v>
      </c>
      <c r="Y250" s="66">
        <v>0</v>
      </c>
      <c r="Z250" s="72" t="str">
        <f>IF(OR(W250=1,W250=0),"0",(Q250-N250))</f>
        <v>0</v>
      </c>
      <c r="AA250" s="67" t="s">
        <v>682</v>
      </c>
      <c r="AB250" s="18" t="s">
        <v>683</v>
      </c>
      <c r="AC250" s="18">
        <v>696.23</v>
      </c>
      <c r="AD250" s="18">
        <v>1144.67</v>
      </c>
      <c r="AE250" s="18">
        <f>ROUND(AC250*100,0)</f>
        <v>69623</v>
      </c>
      <c r="AF250" s="18">
        <f>ROUND(AD250*100,0)</f>
        <v>114467</v>
      </c>
      <c r="AG250" s="26" t="str">
        <f>IF(AC250=AD250,"TAM",(CONCATENATE(AE250,"/",AF250)))</f>
        <v>69623/114467</v>
      </c>
      <c r="AH250" s="27" t="s">
        <v>50</v>
      </c>
      <c r="AI250" s="27" t="s">
        <v>50</v>
      </c>
      <c r="AJ250" s="80"/>
      <c r="AK250" s="55" t="s">
        <v>50</v>
      </c>
      <c r="AL250" s="2" t="s">
        <v>50</v>
      </c>
    </row>
    <row r="251" spans="1:37" ht="12.75" customHeight="1">
      <c r="A251" s="56"/>
      <c r="B251" s="28"/>
      <c r="C251" s="28"/>
      <c r="D251" s="29"/>
      <c r="E251" s="30" t="s">
        <v>50</v>
      </c>
      <c r="F251" s="30"/>
      <c r="G251" s="30"/>
      <c r="H251" s="30"/>
      <c r="I251" s="29"/>
      <c r="J251" s="29"/>
      <c r="K251" s="31"/>
      <c r="L251" s="31"/>
      <c r="M251" s="31"/>
      <c r="N251" s="31"/>
      <c r="O251" s="31"/>
      <c r="P251" s="30"/>
      <c r="Q251" s="30"/>
      <c r="R251" s="30"/>
      <c r="S251" s="30"/>
      <c r="T251" s="30"/>
      <c r="U251" s="30"/>
      <c r="V251" s="30"/>
      <c r="W251" s="30"/>
      <c r="X251" s="30"/>
      <c r="Y251" s="57"/>
      <c r="Z251" s="73"/>
      <c r="AA251" s="12"/>
      <c r="AB251" s="28"/>
      <c r="AC251" s="28"/>
      <c r="AD251" s="28"/>
      <c r="AE251" s="28"/>
      <c r="AF251" s="28"/>
      <c r="AG251" s="28"/>
      <c r="AH251" s="28"/>
      <c r="AI251" s="28"/>
      <c r="AJ251" s="81"/>
      <c r="AK251" s="57"/>
    </row>
    <row r="252" spans="1:38" ht="12.75" customHeight="1">
      <c r="A252" s="54">
        <v>166</v>
      </c>
      <c r="B252" s="17">
        <v>1103</v>
      </c>
      <c r="C252" s="17" t="s">
        <v>684</v>
      </c>
      <c r="D252" s="18">
        <v>699.37</v>
      </c>
      <c r="E252" s="19" t="s">
        <v>685</v>
      </c>
      <c r="F252" s="19" t="s">
        <v>686</v>
      </c>
      <c r="G252" s="20">
        <v>1</v>
      </c>
      <c r="H252" s="20">
        <v>1</v>
      </c>
      <c r="I252" s="18">
        <f>ROUND(G252,0)</f>
        <v>1</v>
      </c>
      <c r="J252" s="18">
        <f>ROUND(H252,0)</f>
        <v>1</v>
      </c>
      <c r="K252" s="21" t="str">
        <f>IF(I252=J252,"TAM",(CONCATENATE(G252,"/",H252)))</f>
        <v>TAM</v>
      </c>
      <c r="L252" s="22">
        <f>699.37*1/1</f>
        <v>699.37</v>
      </c>
      <c r="M252" s="23">
        <v>0</v>
      </c>
      <c r="N252" s="18" t="str">
        <f>IF(M252=0,"0",(O252*M252))</f>
        <v>0</v>
      </c>
      <c r="O252" s="18">
        <f>IF(W252=1,L252,((D252*G252/H252)-P252)/(1-V252)-S252-T252)</f>
        <v>699.37</v>
      </c>
      <c r="P252" s="18">
        <v>0</v>
      </c>
      <c r="Q252" s="18">
        <f>IF(U252=0,"0",O252*U252)</f>
        <v>206.14932219205554</v>
      </c>
      <c r="R252" s="24">
        <f>IF(U252=0,(((D252*G252/H252)-P252-S252-T252)/(1-V252)),(((D252*G252/H252)-P252-S252-T252)/(1-V252))-((D252*G252/H252)-P252-S252-T252)*U252/(1-V252))</f>
        <v>493.22067780794447</v>
      </c>
      <c r="S252" s="20">
        <v>0</v>
      </c>
      <c r="T252" s="20">
        <v>0</v>
      </c>
      <c r="U252" s="20">
        <v>0.294764319590568</v>
      </c>
      <c r="V252" s="20">
        <v>0</v>
      </c>
      <c r="W252" s="25">
        <f>IF(V252&gt;U252,1,V252)</f>
        <v>0</v>
      </c>
      <c r="X252" s="20">
        <v>1</v>
      </c>
      <c r="Y252" s="66">
        <v>0</v>
      </c>
      <c r="Z252" s="72" t="str">
        <f>IF(OR(W252=1,W252=0),"0",(Q252-N252))</f>
        <v>0</v>
      </c>
      <c r="AA252" s="67" t="s">
        <v>687</v>
      </c>
      <c r="AB252" s="18" t="s">
        <v>688</v>
      </c>
      <c r="AC252" s="18">
        <v>493.22</v>
      </c>
      <c r="AD252" s="18">
        <v>1667.55</v>
      </c>
      <c r="AE252" s="18">
        <f>ROUND(AC252*100,0)</f>
        <v>49322</v>
      </c>
      <c r="AF252" s="18">
        <f>ROUND(AD252*100,0)</f>
        <v>166755</v>
      </c>
      <c r="AG252" s="26" t="str">
        <f>IF(AC252=AD252,"TAM",(CONCATENATE(AE252,"/",AF252)))</f>
        <v>49322/166755</v>
      </c>
      <c r="AH252" s="27" t="s">
        <v>50</v>
      </c>
      <c r="AI252" s="27" t="s">
        <v>50</v>
      </c>
      <c r="AJ252" s="75" t="s">
        <v>721</v>
      </c>
      <c r="AK252" s="55" t="s">
        <v>50</v>
      </c>
      <c r="AL252" s="2" t="s">
        <v>50</v>
      </c>
    </row>
    <row r="253" spans="1:37" ht="12.75" customHeight="1">
      <c r="A253" s="56"/>
      <c r="B253" s="28"/>
      <c r="C253" s="28"/>
      <c r="D253" s="29"/>
      <c r="E253" s="30" t="s">
        <v>50</v>
      </c>
      <c r="F253" s="30"/>
      <c r="G253" s="30"/>
      <c r="H253" s="30"/>
      <c r="I253" s="29"/>
      <c r="J253" s="29"/>
      <c r="K253" s="31"/>
      <c r="L253" s="31"/>
      <c r="M253" s="31"/>
      <c r="N253" s="31"/>
      <c r="O253" s="31"/>
      <c r="P253" s="30"/>
      <c r="Q253" s="30"/>
      <c r="R253" s="30"/>
      <c r="S253" s="30"/>
      <c r="T253" s="30"/>
      <c r="U253" s="30"/>
      <c r="V253" s="30"/>
      <c r="W253" s="30"/>
      <c r="X253" s="30"/>
      <c r="Y253" s="57"/>
      <c r="Z253" s="73"/>
      <c r="AA253" s="12"/>
      <c r="AB253" s="28"/>
      <c r="AC253" s="28"/>
      <c r="AD253" s="28"/>
      <c r="AE253" s="28"/>
      <c r="AF253" s="28"/>
      <c r="AG253" s="28"/>
      <c r="AH253" s="28"/>
      <c r="AI253" s="28"/>
      <c r="AJ253" s="76"/>
      <c r="AK253" s="57"/>
    </row>
    <row r="254" spans="1:38" ht="12.75" customHeight="1">
      <c r="A254" s="54">
        <v>167</v>
      </c>
      <c r="B254" s="17">
        <v>1104</v>
      </c>
      <c r="C254" s="17" t="s">
        <v>689</v>
      </c>
      <c r="D254" s="18">
        <v>187.23</v>
      </c>
      <c r="E254" s="19" t="s">
        <v>690</v>
      </c>
      <c r="F254" s="19" t="s">
        <v>691</v>
      </c>
      <c r="G254" s="20">
        <v>1</v>
      </c>
      <c r="H254" s="20">
        <v>1</v>
      </c>
      <c r="I254" s="18">
        <f>ROUND(G254,0)</f>
        <v>1</v>
      </c>
      <c r="J254" s="18">
        <f>ROUND(H254,0)</f>
        <v>1</v>
      </c>
      <c r="K254" s="21" t="str">
        <f>IF(I254=J254,"TAM",(CONCATENATE(G254,"/",H254)))</f>
        <v>TAM</v>
      </c>
      <c r="L254" s="22">
        <f>187.23*1/1</f>
        <v>187.23</v>
      </c>
      <c r="M254" s="23">
        <v>0</v>
      </c>
      <c r="N254" s="18" t="str">
        <f>IF(M254=0,"0",(O254*M254))</f>
        <v>0</v>
      </c>
      <c r="O254" s="18">
        <f>IF(W254=1,L254,((D254*G254/H254)-P254)/(1-V254)-S254-T254)</f>
        <v>187.23</v>
      </c>
      <c r="P254" s="18">
        <v>0</v>
      </c>
      <c r="Q254" s="18">
        <f>IF(U254=0,"0",O254*U254)</f>
        <v>55.18872355694204</v>
      </c>
      <c r="R254" s="24">
        <f>IF(U254=0,(((D254*G254/H254)-P254-S254-T254)/(1-V254)),(((D254*G254/H254)-P254-S254-T254)/(1-V254))-((D254*G254/H254)-P254-S254-T254)*U254/(1-V254))</f>
        <v>132.04127644305794</v>
      </c>
      <c r="S254" s="20">
        <v>0</v>
      </c>
      <c r="T254" s="20">
        <v>0</v>
      </c>
      <c r="U254" s="20">
        <v>0.294764319590568</v>
      </c>
      <c r="V254" s="20">
        <v>0</v>
      </c>
      <c r="W254" s="25">
        <f>IF(V254&gt;U254,1,V254)</f>
        <v>0</v>
      </c>
      <c r="X254" s="20">
        <v>1</v>
      </c>
      <c r="Y254" s="66">
        <v>0</v>
      </c>
      <c r="Z254" s="72" t="str">
        <f>IF(OR(W254=1,W254=0),"0",(Q254-N254))</f>
        <v>0</v>
      </c>
      <c r="AA254" s="67" t="s">
        <v>692</v>
      </c>
      <c r="AB254" s="18" t="s">
        <v>693</v>
      </c>
      <c r="AC254" s="18">
        <v>132.04</v>
      </c>
      <c r="AD254" s="18">
        <v>1667.55</v>
      </c>
      <c r="AE254" s="18">
        <f>ROUND(AC254*100,0)</f>
        <v>13204</v>
      </c>
      <c r="AF254" s="18">
        <f>ROUND(AD254*100,0)</f>
        <v>166755</v>
      </c>
      <c r="AG254" s="26" t="str">
        <f>IF(AC254=AD254,"TAM",(CONCATENATE(AE254,"/",AF254)))</f>
        <v>13204/166755</v>
      </c>
      <c r="AH254" s="27" t="s">
        <v>50</v>
      </c>
      <c r="AI254" s="27" t="s">
        <v>50</v>
      </c>
      <c r="AJ254" s="76"/>
      <c r="AK254" s="55" t="s">
        <v>50</v>
      </c>
      <c r="AL254" s="2" t="s">
        <v>50</v>
      </c>
    </row>
    <row r="255" spans="1:37" ht="12.75" customHeight="1">
      <c r="A255" s="56"/>
      <c r="B255" s="28"/>
      <c r="C255" s="28"/>
      <c r="D255" s="29"/>
      <c r="E255" s="30" t="s">
        <v>50</v>
      </c>
      <c r="F255" s="30"/>
      <c r="G255" s="30"/>
      <c r="H255" s="30"/>
      <c r="I255" s="29"/>
      <c r="J255" s="29"/>
      <c r="K255" s="31"/>
      <c r="L255" s="31"/>
      <c r="M255" s="31"/>
      <c r="N255" s="31"/>
      <c r="O255" s="31"/>
      <c r="P255" s="30"/>
      <c r="Q255" s="30"/>
      <c r="R255" s="30"/>
      <c r="S255" s="30"/>
      <c r="T255" s="30"/>
      <c r="U255" s="30"/>
      <c r="V255" s="30"/>
      <c r="W255" s="30"/>
      <c r="X255" s="30"/>
      <c r="Y255" s="57"/>
      <c r="Z255" s="73"/>
      <c r="AA255" s="12"/>
      <c r="AB255" s="28"/>
      <c r="AC255" s="28"/>
      <c r="AD255" s="28"/>
      <c r="AE255" s="28"/>
      <c r="AF255" s="28"/>
      <c r="AG255" s="28"/>
      <c r="AH255" s="28"/>
      <c r="AI255" s="28"/>
      <c r="AJ255" s="76"/>
      <c r="AK255" s="57"/>
    </row>
    <row r="256" spans="1:38" ht="12.75" customHeight="1">
      <c r="A256" s="54">
        <v>168</v>
      </c>
      <c r="B256" s="17">
        <v>1105</v>
      </c>
      <c r="C256" s="17" t="s">
        <v>694</v>
      </c>
      <c r="D256" s="18">
        <v>420.16</v>
      </c>
      <c r="E256" s="19" t="s">
        <v>695</v>
      </c>
      <c r="F256" s="19" t="s">
        <v>696</v>
      </c>
      <c r="G256" s="20">
        <v>1</v>
      </c>
      <c r="H256" s="20">
        <v>1</v>
      </c>
      <c r="I256" s="18">
        <f>ROUND(G256,0)</f>
        <v>1</v>
      </c>
      <c r="J256" s="18">
        <f>ROUND(H256,0)</f>
        <v>1</v>
      </c>
      <c r="K256" s="21" t="str">
        <f>IF(I256=J256,"TAM",(CONCATENATE(G256,"/",H256)))</f>
        <v>TAM</v>
      </c>
      <c r="L256" s="22">
        <f>420.16*1/1</f>
        <v>420.16</v>
      </c>
      <c r="M256" s="23">
        <v>0</v>
      </c>
      <c r="N256" s="18" t="str">
        <f>IF(M256=0,"0",(O256*M256))</f>
        <v>0</v>
      </c>
      <c r="O256" s="18">
        <f>IF(W256=1,L256,((D256*G256/H256)-P256)/(1-V256)-S256-T256)</f>
        <v>420.16</v>
      </c>
      <c r="P256" s="18">
        <v>0</v>
      </c>
      <c r="Q256" s="18">
        <f>IF(U256=0,"0",O256*U256)</f>
        <v>123.84817651917305</v>
      </c>
      <c r="R256" s="24">
        <f>IF(U256=0,(((D256*G256/H256)-P256-S256-T256)/(1-V256)),(((D256*G256/H256)-P256-S256-T256)/(1-V256))-((D256*G256/H256)-P256-S256-T256)*U256/(1-V256))</f>
        <v>296.311823480827</v>
      </c>
      <c r="S256" s="20">
        <v>0</v>
      </c>
      <c r="T256" s="20">
        <v>0</v>
      </c>
      <c r="U256" s="20">
        <v>0.294764319590568</v>
      </c>
      <c r="V256" s="20">
        <v>0</v>
      </c>
      <c r="W256" s="25">
        <f>IF(V256&gt;U256,1,V256)</f>
        <v>0</v>
      </c>
      <c r="X256" s="20">
        <v>1</v>
      </c>
      <c r="Y256" s="66">
        <v>0</v>
      </c>
      <c r="Z256" s="72" t="str">
        <f>IF(OR(W256=1,W256=0),"0",(Q256-N256))</f>
        <v>0</v>
      </c>
      <c r="AA256" s="67" t="s">
        <v>697</v>
      </c>
      <c r="AB256" s="18" t="s">
        <v>698</v>
      </c>
      <c r="AC256" s="18">
        <v>296.31</v>
      </c>
      <c r="AD256" s="18">
        <v>1667.55</v>
      </c>
      <c r="AE256" s="18">
        <f>ROUND(AC256*100,0)</f>
        <v>29631</v>
      </c>
      <c r="AF256" s="18">
        <f>ROUND(AD256*100,0)</f>
        <v>166755</v>
      </c>
      <c r="AG256" s="26" t="str">
        <f>IF(AC256=AD256,"TAM",(CONCATENATE(AE256,"/",AF256)))</f>
        <v>29631/166755</v>
      </c>
      <c r="AH256" s="27" t="s">
        <v>50</v>
      </c>
      <c r="AI256" s="27" t="s">
        <v>50</v>
      </c>
      <c r="AJ256" s="76"/>
      <c r="AK256" s="55" t="s">
        <v>50</v>
      </c>
      <c r="AL256" s="2" t="s">
        <v>50</v>
      </c>
    </row>
    <row r="257" spans="1:37" ht="12.75" customHeight="1">
      <c r="A257" s="56"/>
      <c r="B257" s="28"/>
      <c r="C257" s="28"/>
      <c r="D257" s="29"/>
      <c r="E257" s="30" t="s">
        <v>50</v>
      </c>
      <c r="F257" s="30"/>
      <c r="G257" s="30"/>
      <c r="H257" s="30"/>
      <c r="I257" s="29"/>
      <c r="J257" s="29"/>
      <c r="K257" s="31"/>
      <c r="L257" s="31"/>
      <c r="M257" s="31"/>
      <c r="N257" s="31"/>
      <c r="O257" s="31"/>
      <c r="P257" s="30"/>
      <c r="Q257" s="30"/>
      <c r="R257" s="30"/>
      <c r="S257" s="30"/>
      <c r="T257" s="30"/>
      <c r="U257" s="30"/>
      <c r="V257" s="30"/>
      <c r="W257" s="30"/>
      <c r="X257" s="30"/>
      <c r="Y257" s="57"/>
      <c r="Z257" s="73"/>
      <c r="AA257" s="12"/>
      <c r="AB257" s="28"/>
      <c r="AC257" s="28"/>
      <c r="AD257" s="28"/>
      <c r="AE257" s="28"/>
      <c r="AF257" s="28"/>
      <c r="AG257" s="28"/>
      <c r="AH257" s="28"/>
      <c r="AI257" s="28"/>
      <c r="AJ257" s="76"/>
      <c r="AK257" s="57"/>
    </row>
    <row r="258" spans="1:38" ht="12.75" customHeight="1">
      <c r="A258" s="54">
        <v>190</v>
      </c>
      <c r="B258" s="17">
        <v>1106</v>
      </c>
      <c r="C258" s="17" t="s">
        <v>699</v>
      </c>
      <c r="D258" s="18">
        <v>279.11</v>
      </c>
      <c r="E258" s="19" t="s">
        <v>700</v>
      </c>
      <c r="F258" s="19" t="s">
        <v>701</v>
      </c>
      <c r="G258" s="20">
        <v>1</v>
      </c>
      <c r="H258" s="20">
        <v>1</v>
      </c>
      <c r="I258" s="18">
        <f>ROUND(G258,0)</f>
        <v>1</v>
      </c>
      <c r="J258" s="18">
        <f>ROUND(H258,0)</f>
        <v>1</v>
      </c>
      <c r="K258" s="21" t="str">
        <f>IF(I258=J258,"TAM",(CONCATENATE(G258,"/",H258)))</f>
        <v>TAM</v>
      </c>
      <c r="L258" s="22">
        <f>279.11*1/1</f>
        <v>279.11</v>
      </c>
      <c r="M258" s="23">
        <v>0</v>
      </c>
      <c r="N258" s="18" t="str">
        <f>IF(M258=0,"0",(O258*M258))</f>
        <v>0</v>
      </c>
      <c r="O258" s="18">
        <f>IF(W258=1,L258,((D258*G258/H258)-P258)/(1-V258)-S258-T258)</f>
        <v>279.11</v>
      </c>
      <c r="P258" s="18">
        <v>0</v>
      </c>
      <c r="Q258" s="18">
        <f>IF(U258=0,"0",O258*U258)</f>
        <v>82.27166924092343</v>
      </c>
      <c r="R258" s="24">
        <f>IF(U258=0,(((D258*G258/H258)-P258-S258-T258)/(1-V258)),(((D258*G258/H258)-P258-S258-T258)/(1-V258))-((D258*G258/H258)-P258-S258-T258)*U258/(1-V258))</f>
        <v>196.8383307590766</v>
      </c>
      <c r="S258" s="20">
        <v>0</v>
      </c>
      <c r="T258" s="20">
        <v>0</v>
      </c>
      <c r="U258" s="20">
        <v>0.294764319590568</v>
      </c>
      <c r="V258" s="20">
        <v>0</v>
      </c>
      <c r="W258" s="25">
        <f>IF(V258&gt;U258,1,V258)</f>
        <v>0</v>
      </c>
      <c r="X258" s="20">
        <v>1</v>
      </c>
      <c r="Y258" s="66">
        <v>0</v>
      </c>
      <c r="Z258" s="72" t="str">
        <f>IF(OR(W258=1,W258=0),"0",(Q258-N258))</f>
        <v>0</v>
      </c>
      <c r="AA258" s="67" t="s">
        <v>702</v>
      </c>
      <c r="AB258" s="18" t="s">
        <v>703</v>
      </c>
      <c r="AC258" s="18">
        <v>196.84</v>
      </c>
      <c r="AD258" s="18">
        <v>1667.55</v>
      </c>
      <c r="AE258" s="18">
        <f>ROUND(AC258*100,0)</f>
        <v>19684</v>
      </c>
      <c r="AF258" s="18">
        <f>ROUND(AD258*100,0)</f>
        <v>166755</v>
      </c>
      <c r="AG258" s="26" t="str">
        <f>IF(AC258=AD258,"TAM",(CONCATENATE(AE258,"/",AF258)))</f>
        <v>19684/166755</v>
      </c>
      <c r="AH258" s="27" t="s">
        <v>50</v>
      </c>
      <c r="AI258" s="27" t="s">
        <v>50</v>
      </c>
      <c r="AJ258" s="76"/>
      <c r="AK258" s="55" t="s">
        <v>50</v>
      </c>
      <c r="AL258" s="2" t="s">
        <v>50</v>
      </c>
    </row>
    <row r="259" spans="1:37" ht="12.75" customHeight="1">
      <c r="A259" s="56"/>
      <c r="B259" s="28"/>
      <c r="C259" s="28"/>
      <c r="D259" s="29"/>
      <c r="E259" s="30" t="s">
        <v>50</v>
      </c>
      <c r="F259" s="30"/>
      <c r="G259" s="30"/>
      <c r="H259" s="30"/>
      <c r="I259" s="29"/>
      <c r="J259" s="29"/>
      <c r="K259" s="31"/>
      <c r="L259" s="31"/>
      <c r="M259" s="31"/>
      <c r="N259" s="31"/>
      <c r="O259" s="31"/>
      <c r="P259" s="30"/>
      <c r="Q259" s="30"/>
      <c r="R259" s="30"/>
      <c r="S259" s="30"/>
      <c r="T259" s="30"/>
      <c r="U259" s="30"/>
      <c r="V259" s="30"/>
      <c r="W259" s="30"/>
      <c r="X259" s="30"/>
      <c r="Y259" s="57"/>
      <c r="Z259" s="73"/>
      <c r="AA259" s="12"/>
      <c r="AB259" s="28"/>
      <c r="AC259" s="28"/>
      <c r="AD259" s="28"/>
      <c r="AE259" s="28"/>
      <c r="AF259" s="28"/>
      <c r="AG259" s="28"/>
      <c r="AH259" s="28"/>
      <c r="AI259" s="28"/>
      <c r="AJ259" s="76"/>
      <c r="AK259" s="57"/>
    </row>
    <row r="260" spans="1:38" ht="12.75" customHeight="1">
      <c r="A260" s="54">
        <v>170</v>
      </c>
      <c r="B260" s="17">
        <v>1107</v>
      </c>
      <c r="C260" s="17" t="s">
        <v>704</v>
      </c>
      <c r="D260" s="18">
        <v>535.03</v>
      </c>
      <c r="E260" s="19" t="s">
        <v>705</v>
      </c>
      <c r="F260" s="19" t="s">
        <v>706</v>
      </c>
      <c r="G260" s="20">
        <v>1</v>
      </c>
      <c r="H260" s="20">
        <v>1</v>
      </c>
      <c r="I260" s="18">
        <f>ROUND(G260,0)</f>
        <v>1</v>
      </c>
      <c r="J260" s="18">
        <f>ROUND(H260,0)</f>
        <v>1</v>
      </c>
      <c r="K260" s="21" t="str">
        <f>IF(I260=J260,"TAM",(CONCATENATE(G260,"/",H260)))</f>
        <v>TAM</v>
      </c>
      <c r="L260" s="22">
        <f>535.03*1/1</f>
        <v>535.03</v>
      </c>
      <c r="M260" s="23">
        <v>0</v>
      </c>
      <c r="N260" s="18" t="str">
        <f>IF(M260=0,"0",(O260*M260))</f>
        <v>0</v>
      </c>
      <c r="O260" s="18">
        <f>IF(W260=1,L260,((D260*G260/H260)-P260)/(1-V260)-S260-T260)</f>
        <v>535.03</v>
      </c>
      <c r="P260" s="18">
        <v>0</v>
      </c>
      <c r="Q260" s="18">
        <f>IF(U260=0,"0",O260*U260)</f>
        <v>157.70775391054158</v>
      </c>
      <c r="R260" s="24">
        <f>IF(U260=0,(((D260*G260/H260)-P260-S260-T260)/(1-V260)),(((D260*G260/H260)-P260-S260-T260)/(1-V260))-((D260*G260/H260)-P260-S260-T260)*U260/(1-V260))</f>
        <v>377.3222460894584</v>
      </c>
      <c r="S260" s="20">
        <v>0</v>
      </c>
      <c r="T260" s="20">
        <v>0</v>
      </c>
      <c r="U260" s="20">
        <v>0.294764319590568</v>
      </c>
      <c r="V260" s="20">
        <v>0</v>
      </c>
      <c r="W260" s="25">
        <f>IF(V260&gt;U260,1,V260)</f>
        <v>0</v>
      </c>
      <c r="X260" s="20">
        <v>1</v>
      </c>
      <c r="Y260" s="66">
        <v>0</v>
      </c>
      <c r="Z260" s="72" t="str">
        <f>IF(OR(W260=1,W260=0),"0",(Q260-N260))</f>
        <v>0</v>
      </c>
      <c r="AA260" s="67" t="s">
        <v>707</v>
      </c>
      <c r="AB260" s="18" t="s">
        <v>708</v>
      </c>
      <c r="AC260" s="18">
        <v>377.32</v>
      </c>
      <c r="AD260" s="18">
        <v>1667.55</v>
      </c>
      <c r="AE260" s="18">
        <f>ROUND(AC260*100,0)</f>
        <v>37732</v>
      </c>
      <c r="AF260" s="18">
        <f>ROUND(AD260*100,0)</f>
        <v>166755</v>
      </c>
      <c r="AG260" s="26" t="str">
        <f>IF(AC260=AD260,"TAM",(CONCATENATE(AE260,"/",AF260)))</f>
        <v>37732/166755</v>
      </c>
      <c r="AH260" s="27" t="s">
        <v>50</v>
      </c>
      <c r="AI260" s="27" t="s">
        <v>50</v>
      </c>
      <c r="AJ260" s="76"/>
      <c r="AK260" s="55" t="s">
        <v>50</v>
      </c>
      <c r="AL260" s="2" t="s">
        <v>50</v>
      </c>
    </row>
    <row r="261" spans="1:37" ht="12.75" customHeight="1">
      <c r="A261" s="56"/>
      <c r="B261" s="28"/>
      <c r="C261" s="28"/>
      <c r="D261" s="29"/>
      <c r="E261" s="30" t="s">
        <v>50</v>
      </c>
      <c r="F261" s="30"/>
      <c r="G261" s="30"/>
      <c r="H261" s="30"/>
      <c r="I261" s="29"/>
      <c r="J261" s="29"/>
      <c r="K261" s="31"/>
      <c r="L261" s="31"/>
      <c r="M261" s="31"/>
      <c r="N261" s="31"/>
      <c r="O261" s="31"/>
      <c r="P261" s="30"/>
      <c r="Q261" s="30"/>
      <c r="R261" s="30"/>
      <c r="S261" s="30"/>
      <c r="T261" s="30"/>
      <c r="U261" s="30"/>
      <c r="V261" s="30"/>
      <c r="W261" s="30"/>
      <c r="X261" s="30"/>
      <c r="Y261" s="57"/>
      <c r="Z261" s="73"/>
      <c r="AA261" s="12"/>
      <c r="AB261" s="28"/>
      <c r="AC261" s="28"/>
      <c r="AD261" s="28"/>
      <c r="AE261" s="28"/>
      <c r="AF261" s="28"/>
      <c r="AG261" s="28"/>
      <c r="AH261" s="28"/>
      <c r="AI261" s="28"/>
      <c r="AJ261" s="76"/>
      <c r="AK261" s="57"/>
    </row>
    <row r="262" spans="1:38" ht="12.75" customHeight="1">
      <c r="A262" s="54">
        <v>30</v>
      </c>
      <c r="B262" s="17">
        <v>1149</v>
      </c>
      <c r="C262" s="17" t="s">
        <v>709</v>
      </c>
      <c r="D262" s="18">
        <v>8845.1</v>
      </c>
      <c r="E262" s="19" t="s">
        <v>710</v>
      </c>
      <c r="F262" s="19" t="s">
        <v>711</v>
      </c>
      <c r="G262" s="20">
        <v>1</v>
      </c>
      <c r="H262" s="20">
        <v>1</v>
      </c>
      <c r="I262" s="18">
        <f>ROUND(G262,0)</f>
        <v>1</v>
      </c>
      <c r="J262" s="18">
        <f>ROUND(H262,0)</f>
        <v>1</v>
      </c>
      <c r="K262" s="21" t="str">
        <f>IF(I262=J262,"TAM",(CONCATENATE(G262,"/",H262)))</f>
        <v>TAM</v>
      </c>
      <c r="L262" s="22">
        <f>8845.1*1/1</f>
        <v>8845.1</v>
      </c>
      <c r="M262" s="23">
        <v>0</v>
      </c>
      <c r="N262" s="18" t="str">
        <f>IF(M262=0,"0",(O262*M262))</f>
        <v>0</v>
      </c>
      <c r="O262" s="18">
        <f>IF(W262=1,L262,((D262*G262/H262)-P262)/(1-V262)-S262-T262)</f>
        <v>8845.1</v>
      </c>
      <c r="P262" s="18">
        <v>0</v>
      </c>
      <c r="Q262" s="18">
        <f>IF(U262=0,"0",O262*U262)</f>
        <v>2607.2198832105328</v>
      </c>
      <c r="R262" s="24">
        <f>IF(U262=0,(((D262*G262/H262)-P262-S262-T262)/(1-V262)),(((D262*G262/H262)-P262-S262-T262)/(1-V262))-((D262*G262/H262)-P262-S262-T262)*U262/(1-V262))</f>
        <v>6237.880116789467</v>
      </c>
      <c r="S262" s="20">
        <v>0</v>
      </c>
      <c r="T262" s="20">
        <v>0</v>
      </c>
      <c r="U262" s="20">
        <v>0.294764319590568</v>
      </c>
      <c r="V262" s="20">
        <v>0</v>
      </c>
      <c r="W262" s="25">
        <f>IF(V262&gt;U262,1,V262)</f>
        <v>0</v>
      </c>
      <c r="X262" s="20">
        <v>1</v>
      </c>
      <c r="Y262" s="66">
        <v>0</v>
      </c>
      <c r="Z262" s="72" t="str">
        <f>IF(OR(W262=1,W262=0),"0",(Q262-N262))</f>
        <v>0</v>
      </c>
      <c r="AA262" s="67" t="s">
        <v>712</v>
      </c>
      <c r="AB262" s="18" t="s">
        <v>713</v>
      </c>
      <c r="AC262" s="18">
        <v>171.82</v>
      </c>
      <c r="AD262" s="18">
        <v>1667.55</v>
      </c>
      <c r="AE262" s="18">
        <f>ROUND(AC262*100,0)</f>
        <v>17182</v>
      </c>
      <c r="AF262" s="18">
        <f>ROUND(AD262*100,0)</f>
        <v>166755</v>
      </c>
      <c r="AG262" s="26" t="str">
        <f>IF(AC262=AD262,"TAM",(CONCATENATE(AE262,"/",AF262)))</f>
        <v>17182/166755</v>
      </c>
      <c r="AH262" s="27" t="s">
        <v>50</v>
      </c>
      <c r="AI262" s="27" t="s">
        <v>50</v>
      </c>
      <c r="AJ262" s="76"/>
      <c r="AK262" s="55" t="s">
        <v>50</v>
      </c>
      <c r="AL262" s="2" t="s">
        <v>50</v>
      </c>
    </row>
    <row r="263" spans="1:37" ht="12.75" customHeight="1" thickBot="1">
      <c r="A263" s="58"/>
      <c r="B263" s="59"/>
      <c r="C263" s="59"/>
      <c r="D263" s="60"/>
      <c r="E263" s="61" t="s">
        <v>50</v>
      </c>
      <c r="F263" s="61"/>
      <c r="G263" s="61"/>
      <c r="H263" s="61"/>
      <c r="I263" s="60"/>
      <c r="J263" s="60"/>
      <c r="K263" s="62"/>
      <c r="L263" s="62"/>
      <c r="M263" s="62"/>
      <c r="N263" s="62"/>
      <c r="O263" s="62"/>
      <c r="P263" s="61"/>
      <c r="Q263" s="61"/>
      <c r="R263" s="61"/>
      <c r="S263" s="61"/>
      <c r="T263" s="61"/>
      <c r="U263" s="61"/>
      <c r="V263" s="61"/>
      <c r="W263" s="61"/>
      <c r="X263" s="61"/>
      <c r="Y263" s="63"/>
      <c r="Z263" s="74"/>
      <c r="AA263" s="65"/>
      <c r="AB263" s="59"/>
      <c r="AC263" s="59"/>
      <c r="AD263" s="59"/>
      <c r="AE263" s="59"/>
      <c r="AF263" s="59"/>
      <c r="AG263" s="59"/>
      <c r="AH263" s="59"/>
      <c r="AI263" s="59"/>
      <c r="AJ263" s="77"/>
      <c r="AK263" s="63"/>
    </row>
    <row r="264" spans="4:33" ht="12.75"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B264" s="32"/>
      <c r="AC264" s="32"/>
      <c r="AD264" s="32"/>
      <c r="AE264" s="32"/>
      <c r="AF264" s="32"/>
      <c r="AG264" s="32"/>
    </row>
  </sheetData>
  <sheetProtection/>
  <mergeCells count="36">
    <mergeCell ref="D3:AH3"/>
    <mergeCell ref="D5:AH5"/>
    <mergeCell ref="D7:AH7"/>
    <mergeCell ref="AJ12:AJ13"/>
    <mergeCell ref="AJ14:AJ15"/>
    <mergeCell ref="AJ16:AJ19"/>
    <mergeCell ref="AJ20:AJ23"/>
    <mergeCell ref="AJ24:AJ31"/>
    <mergeCell ref="A8:Y8"/>
    <mergeCell ref="AA8:AK8"/>
    <mergeCell ref="AJ32:AJ33"/>
    <mergeCell ref="AJ34:AJ49"/>
    <mergeCell ref="AJ50:AJ61"/>
    <mergeCell ref="AJ62:AJ65"/>
    <mergeCell ref="AJ66:AJ69"/>
    <mergeCell ref="AJ70:AJ71"/>
    <mergeCell ref="AJ178:AJ179"/>
    <mergeCell ref="AJ180:AJ181"/>
    <mergeCell ref="AJ182:AJ189"/>
    <mergeCell ref="AJ190:AJ197"/>
    <mergeCell ref="AJ72:AJ75"/>
    <mergeCell ref="AJ76:AJ131"/>
    <mergeCell ref="AJ132:AJ137"/>
    <mergeCell ref="AJ138:AJ143"/>
    <mergeCell ref="AJ144:AJ147"/>
    <mergeCell ref="AJ148:AJ157"/>
    <mergeCell ref="AJ252:AJ263"/>
    <mergeCell ref="A2:AK2"/>
    <mergeCell ref="AJ198:AJ203"/>
    <mergeCell ref="AJ204:AJ213"/>
    <mergeCell ref="AJ214:AJ225"/>
    <mergeCell ref="AJ226:AJ231"/>
    <mergeCell ref="AJ232:AJ241"/>
    <mergeCell ref="AJ242:AJ251"/>
    <mergeCell ref="AJ158:AJ175"/>
    <mergeCell ref="AJ176:AJ177"/>
  </mergeCells>
  <printOptions horizontalCentered="1"/>
  <pageMargins left="0.2362204724409449" right="0.2362204724409449" top="0.35433070866141736" bottom="0.9448818897637796" header="0.31496062992125984" footer="0.7874015748031497"/>
  <pageSetup horizontalDpi="600" verticalDpi="600" orientation="landscape" paperSize="8" scale="70" r:id="rId1"/>
  <headerFooter alignWithMargins="0">
    <oddFooter>&amp;L                                  &amp;"Arial,Kalın"&amp;UDÜZENLEYEN&amp;C&amp;"Arial,Kalın"&amp;UKONTROL EDEN&amp;R&amp;"Arial,Kalın"&amp;UONAYLAYAN&amp;"Arial,Normal"&amp;U                  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WİN7</cp:lastModifiedBy>
  <cp:lastPrinted>2020-10-01T13:09:52Z</cp:lastPrinted>
  <dcterms:created xsi:type="dcterms:W3CDTF">2020-10-01T11:55:29Z</dcterms:created>
  <dcterms:modified xsi:type="dcterms:W3CDTF">2021-01-05T12:55:40Z</dcterms:modified>
  <cp:category/>
  <cp:version/>
  <cp:contentType/>
  <cp:contentStatus/>
</cp:coreProperties>
</file>